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30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31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32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3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4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5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36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7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8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9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6.xml" ContentType="application/vnd.openxmlformats-officedocument.drawing+xml"/>
  <Override PartName="/xl/charts/chart40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41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42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3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4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5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6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7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8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9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bookViews>
    <workbookView xWindow="0" yWindow="0" windowWidth="28800" windowHeight="12585" activeTab="2"/>
  </bookViews>
  <sheets>
    <sheet name="ОФП и ОПУ" sheetId="2" r:id="rId1"/>
    <sheet name="Ликвидность" sheetId="7" r:id="rId2"/>
    <sheet name="Прибыльность и рентабельность" sheetId="9" r:id="rId3"/>
    <sheet name="Анализ финансовой устойчивости" sheetId="8" r:id="rId4"/>
    <sheet name="Горизонтальный анализ" sheetId="5" r:id="rId5"/>
    <sheet name="Вертикальный анализ" sheetId="6" r:id="rId6"/>
  </sheets>
  <externalReferences>
    <externalReference r:id="rId7"/>
    <externalReference r:id="rId8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9" l="1"/>
  <c r="D11" i="9"/>
  <c r="C11" i="9"/>
  <c r="B11" i="9"/>
  <c r="A11" i="9"/>
  <c r="E7" i="9"/>
  <c r="D7" i="9"/>
  <c r="C7" i="9"/>
  <c r="B7" i="9"/>
  <c r="A7" i="9"/>
  <c r="E3" i="9"/>
  <c r="D3" i="9"/>
  <c r="C3" i="9"/>
  <c r="B3" i="9"/>
  <c r="A3" i="9"/>
  <c r="AD68" i="2" l="1"/>
  <c r="AE62" i="2"/>
  <c r="AK62" i="2" s="1"/>
  <c r="AE68" i="2" s="1"/>
  <c r="AD62" i="2"/>
  <c r="AC62" i="2"/>
  <c r="AB62" i="2"/>
  <c r="AH62" i="2" s="1"/>
  <c r="AB68" i="2" s="1"/>
  <c r="AA62" i="2"/>
  <c r="AG62" i="2" s="1"/>
  <c r="AI62" i="2"/>
  <c r="H62" i="2"/>
  <c r="AK58" i="2"/>
  <c r="AE58" i="2"/>
  <c r="AD58" i="2"/>
  <c r="AJ58" i="2" s="1"/>
  <c r="AC58" i="2"/>
  <c r="AI58" i="2" s="1"/>
  <c r="AB58" i="2"/>
  <c r="AH58" i="2" s="1"/>
  <c r="AA58" i="2"/>
  <c r="H58" i="2"/>
  <c r="AE54" i="2"/>
  <c r="AK54" i="2" s="1"/>
  <c r="AD54" i="2"/>
  <c r="AC54" i="2"/>
  <c r="AA54" i="2"/>
  <c r="AG54" i="2" s="1"/>
  <c r="AB54" i="2"/>
  <c r="AH54" i="2" s="1"/>
  <c r="H54" i="2"/>
  <c r="AJ62" i="2"/>
  <c r="AG58" i="2"/>
  <c r="AI54" i="2"/>
  <c r="AC68" i="2" s="1"/>
  <c r="AJ54" i="2"/>
  <c r="N62" i="2"/>
  <c r="H68" i="2" s="1"/>
  <c r="L62" i="2"/>
  <c r="R62" i="2" s="1"/>
  <c r="J62" i="2"/>
  <c r="K62" i="2"/>
  <c r="I62" i="2"/>
  <c r="O62" i="2" s="1"/>
  <c r="P62" i="2"/>
  <c r="Q62" i="2"/>
  <c r="K68" i="2" s="1"/>
  <c r="P58" i="2"/>
  <c r="N58" i="2"/>
  <c r="L54" i="2"/>
  <c r="R54" i="2" s="1"/>
  <c r="L58" i="2"/>
  <c r="R58" i="2" s="1"/>
  <c r="J58" i="2"/>
  <c r="K58" i="2"/>
  <c r="Q58" i="2" s="1"/>
  <c r="I58" i="2"/>
  <c r="O58" i="2" s="1"/>
  <c r="O54" i="2"/>
  <c r="N54" i="2"/>
  <c r="K54" i="2"/>
  <c r="Q54" i="2" s="1"/>
  <c r="J54" i="2"/>
  <c r="P54" i="2" s="1"/>
  <c r="I54" i="2"/>
  <c r="J68" i="2" l="1"/>
  <c r="L68" i="2"/>
  <c r="I68" i="2"/>
  <c r="AA68" i="2"/>
  <c r="K69" i="6" l="1"/>
  <c r="K70" i="6"/>
  <c r="K71" i="6"/>
  <c r="K72" i="6"/>
  <c r="K73" i="6"/>
  <c r="I69" i="6"/>
  <c r="I70" i="6"/>
  <c r="I71" i="6"/>
  <c r="I73" i="6"/>
  <c r="G69" i="6"/>
  <c r="G70" i="6"/>
  <c r="G71" i="6"/>
  <c r="G73" i="6"/>
  <c r="E69" i="6"/>
  <c r="E70" i="6"/>
  <c r="E71" i="6"/>
  <c r="C69" i="6"/>
  <c r="C70" i="6"/>
  <c r="C74" i="6"/>
  <c r="K66" i="6"/>
  <c r="K67" i="6"/>
  <c r="K68" i="6"/>
  <c r="I66" i="6"/>
  <c r="I67" i="6"/>
  <c r="I68" i="6"/>
  <c r="G64" i="6"/>
  <c r="G66" i="6"/>
  <c r="G67" i="6"/>
  <c r="G68" i="6"/>
  <c r="E66" i="6"/>
  <c r="E67" i="6"/>
  <c r="E68" i="6"/>
  <c r="C66" i="6"/>
  <c r="C67" i="6"/>
  <c r="C68" i="6"/>
  <c r="K64" i="6"/>
  <c r="I64" i="6"/>
  <c r="E64" i="6"/>
  <c r="C64" i="6"/>
  <c r="C75" i="6"/>
  <c r="E32" i="6" l="1"/>
  <c r="B35" i="6"/>
  <c r="C30" i="6" s="1"/>
  <c r="D35" i="6"/>
  <c r="E18" i="6"/>
  <c r="E19" i="6"/>
  <c r="E20" i="6"/>
  <c r="E21" i="6"/>
  <c r="E22" i="6"/>
  <c r="E23" i="6"/>
  <c r="E24" i="6"/>
  <c r="E17" i="6"/>
  <c r="J27" i="6"/>
  <c r="H27" i="6"/>
  <c r="F27" i="6"/>
  <c r="D27" i="6"/>
  <c r="E5" i="6"/>
  <c r="E7" i="6"/>
  <c r="E12" i="6"/>
  <c r="E13" i="6"/>
  <c r="G5" i="6"/>
  <c r="G6" i="6"/>
  <c r="G7" i="6"/>
  <c r="G8" i="6"/>
  <c r="G9" i="6"/>
  <c r="G10" i="6"/>
  <c r="G12" i="6"/>
  <c r="G13" i="6"/>
  <c r="J25" i="6"/>
  <c r="H25" i="6"/>
  <c r="I25" i="6" s="1"/>
  <c r="F25" i="6"/>
  <c r="G17" i="6" s="1"/>
  <c r="D25" i="6"/>
  <c r="B25" i="6"/>
  <c r="C22" i="6" s="1"/>
  <c r="J14" i="6"/>
  <c r="K11" i="6" s="1"/>
  <c r="H14" i="6"/>
  <c r="F14" i="6"/>
  <c r="D14" i="6"/>
  <c r="I12" i="6"/>
  <c r="I14" i="6"/>
  <c r="I10" i="6"/>
  <c r="I6" i="6"/>
  <c r="I7" i="6"/>
  <c r="I8" i="6"/>
  <c r="I9" i="6"/>
  <c r="I13" i="6"/>
  <c r="K8" i="6"/>
  <c r="K9" i="6"/>
  <c r="I5" i="6"/>
  <c r="C7" i="6"/>
  <c r="C11" i="6"/>
  <c r="C12" i="6"/>
  <c r="C13" i="6"/>
  <c r="C5" i="6"/>
  <c r="K47" i="6"/>
  <c r="K53" i="6"/>
  <c r="I47" i="6"/>
  <c r="I53" i="6"/>
  <c r="E47" i="6"/>
  <c r="E46" i="6"/>
  <c r="K39" i="6"/>
  <c r="K40" i="6"/>
  <c r="K41" i="6"/>
  <c r="K38" i="6"/>
  <c r="I39" i="6"/>
  <c r="I40" i="6"/>
  <c r="I41" i="6"/>
  <c r="I38" i="6"/>
  <c r="G39" i="6"/>
  <c r="G40" i="6"/>
  <c r="G41" i="6"/>
  <c r="G38" i="6"/>
  <c r="E40" i="6"/>
  <c r="E41" i="6"/>
  <c r="E42" i="6"/>
  <c r="E38" i="6"/>
  <c r="C42" i="6"/>
  <c r="K32" i="6"/>
  <c r="K31" i="6"/>
  <c r="K33" i="6"/>
  <c r="K30" i="6"/>
  <c r="I31" i="6"/>
  <c r="I32" i="6"/>
  <c r="I33" i="6"/>
  <c r="I30" i="6"/>
  <c r="G31" i="6"/>
  <c r="G32" i="6"/>
  <c r="G33" i="6"/>
  <c r="G30" i="6"/>
  <c r="I21" i="6"/>
  <c r="C21" i="6"/>
  <c r="K75" i="6"/>
  <c r="I75" i="6"/>
  <c r="G75" i="6"/>
  <c r="E75" i="6"/>
  <c r="J54" i="6"/>
  <c r="K48" i="6" s="1"/>
  <c r="H54" i="6"/>
  <c r="I48" i="6" s="1"/>
  <c r="F54" i="6"/>
  <c r="G48" i="6" s="1"/>
  <c r="D54" i="6"/>
  <c r="E48" i="6" s="1"/>
  <c r="B54" i="6"/>
  <c r="C50" i="6" s="1"/>
  <c r="J43" i="6"/>
  <c r="H43" i="6"/>
  <c r="F43" i="6"/>
  <c r="D43" i="6"/>
  <c r="B43" i="6"/>
  <c r="J35" i="6"/>
  <c r="H35" i="6"/>
  <c r="F35" i="6"/>
  <c r="B14" i="6"/>
  <c r="L157" i="5"/>
  <c r="K157" i="5"/>
  <c r="J157" i="5"/>
  <c r="I157" i="5"/>
  <c r="H157" i="5"/>
  <c r="I156" i="5"/>
  <c r="J156" i="5"/>
  <c r="K156" i="5"/>
  <c r="L156" i="5"/>
  <c r="H156" i="5"/>
  <c r="I155" i="5"/>
  <c r="J155" i="5"/>
  <c r="K155" i="5"/>
  <c r="L155" i="5"/>
  <c r="H155" i="5"/>
  <c r="I154" i="5"/>
  <c r="J154" i="5"/>
  <c r="K154" i="5"/>
  <c r="L154" i="5"/>
  <c r="H154" i="5"/>
  <c r="I130" i="5"/>
  <c r="J130" i="5"/>
  <c r="K130" i="5"/>
  <c r="L130" i="5"/>
  <c r="H130" i="5"/>
  <c r="H129" i="5"/>
  <c r="I129" i="5"/>
  <c r="J129" i="5"/>
  <c r="K129" i="5"/>
  <c r="L129" i="5"/>
  <c r="I128" i="5"/>
  <c r="J128" i="5"/>
  <c r="K128" i="5"/>
  <c r="L128" i="5"/>
  <c r="H128" i="5"/>
  <c r="I127" i="5"/>
  <c r="J127" i="5"/>
  <c r="K127" i="5"/>
  <c r="L127" i="5"/>
  <c r="H127" i="5"/>
  <c r="L103" i="5"/>
  <c r="I103" i="5"/>
  <c r="J103" i="5"/>
  <c r="K103" i="5"/>
  <c r="H103" i="5"/>
  <c r="I102" i="5"/>
  <c r="J102" i="5"/>
  <c r="K102" i="5"/>
  <c r="L102" i="5"/>
  <c r="H102" i="5"/>
  <c r="I101" i="5"/>
  <c r="J101" i="5"/>
  <c r="K101" i="5"/>
  <c r="L101" i="5"/>
  <c r="H101" i="5"/>
  <c r="L73" i="5"/>
  <c r="I75" i="5"/>
  <c r="J75" i="5"/>
  <c r="K75" i="5"/>
  <c r="L75" i="5"/>
  <c r="H75" i="5"/>
  <c r="I74" i="5"/>
  <c r="J74" i="5"/>
  <c r="K74" i="5"/>
  <c r="L74" i="5"/>
  <c r="H74" i="5"/>
  <c r="I73" i="5"/>
  <c r="J73" i="5"/>
  <c r="K73" i="5"/>
  <c r="H73" i="5"/>
  <c r="G47" i="6" l="1"/>
  <c r="C47" i="6"/>
  <c r="G46" i="6"/>
  <c r="I46" i="6"/>
  <c r="K46" i="6"/>
  <c r="C46" i="6"/>
  <c r="E53" i="6"/>
  <c r="G52" i="6"/>
  <c r="I52" i="6"/>
  <c r="K52" i="6"/>
  <c r="C48" i="6"/>
  <c r="C53" i="6"/>
  <c r="E52" i="6"/>
  <c r="G51" i="6"/>
  <c r="I51" i="6"/>
  <c r="K51" i="6"/>
  <c r="C52" i="6"/>
  <c r="E51" i="6"/>
  <c r="G50" i="6"/>
  <c r="I50" i="6"/>
  <c r="K50" i="6"/>
  <c r="C51" i="6"/>
  <c r="E50" i="6"/>
  <c r="G49" i="6"/>
  <c r="I49" i="6"/>
  <c r="K49" i="6"/>
  <c r="G53" i="6"/>
  <c r="G19" i="6"/>
  <c r="I20" i="6"/>
  <c r="K22" i="6"/>
  <c r="G18" i="6"/>
  <c r="I19" i="6"/>
  <c r="K23" i="6"/>
  <c r="K21" i="6"/>
  <c r="I18" i="6"/>
  <c r="K24" i="6"/>
  <c r="G24" i="6"/>
  <c r="I17" i="6"/>
  <c r="K17" i="6"/>
  <c r="G23" i="6"/>
  <c r="I24" i="6"/>
  <c r="K18" i="6"/>
  <c r="G20" i="6"/>
  <c r="I23" i="6"/>
  <c r="G22" i="6"/>
  <c r="K19" i="6"/>
  <c r="G21" i="6"/>
  <c r="I22" i="6"/>
  <c r="K20" i="6"/>
  <c r="C20" i="6"/>
  <c r="C31" i="6"/>
  <c r="C32" i="6"/>
  <c r="B58" i="6"/>
  <c r="B55" i="6" s="1"/>
  <c r="C19" i="6"/>
  <c r="C17" i="6"/>
  <c r="C33" i="6"/>
  <c r="C34" i="6"/>
  <c r="C23" i="6"/>
  <c r="C18" i="6"/>
  <c r="K6" i="6"/>
  <c r="K5" i="6"/>
  <c r="K10" i="6"/>
  <c r="K13" i="6"/>
  <c r="K7" i="6"/>
  <c r="K12" i="6"/>
  <c r="C25" i="6"/>
  <c r="E25" i="6"/>
  <c r="G25" i="6"/>
  <c r="K25" i="6"/>
  <c r="C14" i="6"/>
  <c r="G14" i="6"/>
  <c r="E14" i="6"/>
  <c r="K14" i="6"/>
  <c r="D56" i="6"/>
  <c r="H56" i="6"/>
  <c r="H57" i="6" s="1"/>
  <c r="J56" i="6"/>
  <c r="J57" i="6" s="1"/>
  <c r="B56" i="6"/>
  <c r="B57" i="6" s="1"/>
  <c r="B27" i="6"/>
  <c r="F56" i="6"/>
  <c r="F57" i="6" s="1"/>
  <c r="G30" i="5"/>
  <c r="H30" i="5" s="1"/>
  <c r="I9" i="5"/>
  <c r="J9" i="5" s="1"/>
  <c r="G9" i="5"/>
  <c r="H9" i="5" s="1"/>
  <c r="M9" i="5"/>
  <c r="N9" i="5" s="1"/>
  <c r="M13" i="5"/>
  <c r="N13" i="5" s="1"/>
  <c r="M14" i="5"/>
  <c r="N14" i="5" s="1"/>
  <c r="M15" i="5"/>
  <c r="N15" i="5" s="1"/>
  <c r="M18" i="5"/>
  <c r="N18" i="5" s="1"/>
  <c r="M19" i="5"/>
  <c r="N19" i="5" s="1"/>
  <c r="M20" i="5"/>
  <c r="N20" i="5" s="1"/>
  <c r="M21" i="5"/>
  <c r="N21" i="5" s="1"/>
  <c r="M22" i="5"/>
  <c r="N22" i="5" s="1"/>
  <c r="M23" i="5"/>
  <c r="N23" i="5" s="1"/>
  <c r="M24" i="5"/>
  <c r="N24" i="5" s="1"/>
  <c r="M30" i="5"/>
  <c r="N30" i="5" s="1"/>
  <c r="M31" i="5"/>
  <c r="N31" i="5" s="1"/>
  <c r="M32" i="5"/>
  <c r="N32" i="5" s="1"/>
  <c r="M33" i="5"/>
  <c r="N33" i="5" s="1"/>
  <c r="M44" i="5"/>
  <c r="N44" i="5" s="1"/>
  <c r="M45" i="5"/>
  <c r="N45" i="5" s="1"/>
  <c r="M46" i="5"/>
  <c r="N46" i="5" s="1"/>
  <c r="M48" i="5"/>
  <c r="N48" i="5" s="1"/>
  <c r="M49" i="5"/>
  <c r="N49" i="5" s="1"/>
  <c r="M50" i="5"/>
  <c r="N50" i="5" s="1"/>
  <c r="M51" i="5"/>
  <c r="N51" i="5" s="1"/>
  <c r="M56" i="5"/>
  <c r="N56" i="5" s="1"/>
  <c r="M57" i="5"/>
  <c r="N57" i="5" s="1"/>
  <c r="M59" i="5"/>
  <c r="N59" i="5" s="1"/>
  <c r="M60" i="5"/>
  <c r="N60" i="5" s="1"/>
  <c r="M61" i="5"/>
  <c r="N61" i="5" s="1"/>
  <c r="M63" i="5"/>
  <c r="N63" i="5" s="1"/>
  <c r="M68" i="5"/>
  <c r="N68" i="5" s="1"/>
  <c r="K9" i="5"/>
  <c r="L9" i="5" s="1"/>
  <c r="K14" i="5"/>
  <c r="L14" i="5" s="1"/>
  <c r="K15" i="5"/>
  <c r="L15" i="5" s="1"/>
  <c r="K18" i="5"/>
  <c r="L18" i="5" s="1"/>
  <c r="K19" i="5"/>
  <c r="L19" i="5" s="1"/>
  <c r="K20" i="5"/>
  <c r="L20" i="5" s="1"/>
  <c r="K21" i="5"/>
  <c r="L21" i="5" s="1"/>
  <c r="K22" i="5"/>
  <c r="L22" i="5" s="1"/>
  <c r="K23" i="5"/>
  <c r="L23" i="5" s="1"/>
  <c r="K24" i="5"/>
  <c r="L24" i="5" s="1"/>
  <c r="K30" i="5"/>
  <c r="L30" i="5" s="1"/>
  <c r="K31" i="5"/>
  <c r="L31" i="5" s="1"/>
  <c r="K32" i="5"/>
  <c r="L32" i="5" s="1"/>
  <c r="K33" i="5"/>
  <c r="L33" i="5" s="1"/>
  <c r="K44" i="5"/>
  <c r="L44" i="5" s="1"/>
  <c r="K45" i="5"/>
  <c r="L45" i="5" s="1"/>
  <c r="K46" i="5"/>
  <c r="L46" i="5" s="1"/>
  <c r="K48" i="5"/>
  <c r="L48" i="5" s="1"/>
  <c r="K49" i="5"/>
  <c r="L49" i="5" s="1"/>
  <c r="K50" i="5"/>
  <c r="L50" i="5" s="1"/>
  <c r="K51" i="5"/>
  <c r="L51" i="5" s="1"/>
  <c r="K56" i="5"/>
  <c r="L56" i="5" s="1"/>
  <c r="K57" i="5"/>
  <c r="L57" i="5" s="1"/>
  <c r="K59" i="5"/>
  <c r="L59" i="5" s="1"/>
  <c r="K60" i="5"/>
  <c r="L60" i="5" s="1"/>
  <c r="K61" i="5"/>
  <c r="L61" i="5" s="1"/>
  <c r="K63" i="5"/>
  <c r="L63" i="5" s="1"/>
  <c r="K68" i="5"/>
  <c r="L68" i="5" s="1"/>
  <c r="I14" i="5"/>
  <c r="J14" i="5" s="1"/>
  <c r="I15" i="5"/>
  <c r="J15" i="5" s="1"/>
  <c r="I18" i="5"/>
  <c r="J18" i="5" s="1"/>
  <c r="I19" i="5"/>
  <c r="J19" i="5" s="1"/>
  <c r="I20" i="5"/>
  <c r="J20" i="5" s="1"/>
  <c r="I21" i="5"/>
  <c r="J21" i="5" s="1"/>
  <c r="I22" i="5"/>
  <c r="J22" i="5" s="1"/>
  <c r="I23" i="5"/>
  <c r="J23" i="5" s="1"/>
  <c r="I24" i="5"/>
  <c r="J24" i="5" s="1"/>
  <c r="I30" i="5"/>
  <c r="J30" i="5" s="1"/>
  <c r="I31" i="5"/>
  <c r="J31" i="5" s="1"/>
  <c r="I32" i="5"/>
  <c r="J32" i="5" s="1"/>
  <c r="I33" i="5"/>
  <c r="J33" i="5" s="1"/>
  <c r="I44" i="5"/>
  <c r="J44" i="5" s="1"/>
  <c r="I45" i="5"/>
  <c r="J45" i="5" s="1"/>
  <c r="I46" i="5"/>
  <c r="J46" i="5" s="1"/>
  <c r="I48" i="5"/>
  <c r="J48" i="5" s="1"/>
  <c r="I49" i="5"/>
  <c r="J49" i="5" s="1"/>
  <c r="I50" i="5"/>
  <c r="J50" i="5" s="1"/>
  <c r="I51" i="5"/>
  <c r="J51" i="5" s="1"/>
  <c r="I56" i="5"/>
  <c r="J56" i="5" s="1"/>
  <c r="I57" i="5"/>
  <c r="J57" i="5" s="1"/>
  <c r="I59" i="5"/>
  <c r="J59" i="5" s="1"/>
  <c r="I60" i="5"/>
  <c r="J60" i="5" s="1"/>
  <c r="I61" i="5"/>
  <c r="J61" i="5" s="1"/>
  <c r="I63" i="5"/>
  <c r="J63" i="5" s="1"/>
  <c r="I68" i="5"/>
  <c r="J68" i="5" s="1"/>
  <c r="G14" i="5"/>
  <c r="H14" i="5" s="1"/>
  <c r="G15" i="5"/>
  <c r="H15" i="5" s="1"/>
  <c r="G18" i="5"/>
  <c r="H18" i="5" s="1"/>
  <c r="G19" i="5"/>
  <c r="H19" i="5" s="1"/>
  <c r="G20" i="5"/>
  <c r="H20" i="5" s="1"/>
  <c r="G21" i="5"/>
  <c r="H21" i="5" s="1"/>
  <c r="G22" i="5"/>
  <c r="H22" i="5" s="1"/>
  <c r="G23" i="5"/>
  <c r="H23" i="5" s="1"/>
  <c r="G24" i="5"/>
  <c r="H24" i="5" s="1"/>
  <c r="G31" i="5"/>
  <c r="H31" i="5" s="1"/>
  <c r="G32" i="5"/>
  <c r="H32" i="5" s="1"/>
  <c r="G33" i="5"/>
  <c r="H33" i="5" s="1"/>
  <c r="G34" i="5"/>
  <c r="H34" i="5" s="1"/>
  <c r="G41" i="5"/>
  <c r="H41" i="5" s="1"/>
  <c r="G44" i="5"/>
  <c r="H44" i="5" s="1"/>
  <c r="G45" i="5"/>
  <c r="H45" i="5" s="1"/>
  <c r="G46" i="5"/>
  <c r="H46" i="5" s="1"/>
  <c r="G48" i="5"/>
  <c r="H48" i="5" s="1"/>
  <c r="G49" i="5"/>
  <c r="H49" i="5" s="1"/>
  <c r="G50" i="5"/>
  <c r="H50" i="5" s="1"/>
  <c r="G51" i="5"/>
  <c r="H51" i="5" s="1"/>
  <c r="G56" i="5"/>
  <c r="H56" i="5" s="1"/>
  <c r="G57" i="5"/>
  <c r="H57" i="5" s="1"/>
  <c r="G59" i="5"/>
  <c r="H59" i="5" s="1"/>
  <c r="G60" i="5"/>
  <c r="H60" i="5" s="1"/>
  <c r="G61" i="5"/>
  <c r="H61" i="5" s="1"/>
  <c r="G63" i="5"/>
  <c r="H63" i="5" s="1"/>
  <c r="G68" i="5"/>
  <c r="H68" i="5" s="1"/>
  <c r="M7" i="5"/>
  <c r="N7" i="5" s="1"/>
  <c r="K7" i="5"/>
  <c r="L7" i="5" s="1"/>
  <c r="I7" i="5"/>
  <c r="J7" i="5" s="1"/>
  <c r="G7" i="5"/>
  <c r="H7" i="5" s="1"/>
  <c r="F58" i="5"/>
  <c r="F62" i="5" s="1"/>
  <c r="E58" i="5"/>
  <c r="E62" i="5" s="1"/>
  <c r="D58" i="5"/>
  <c r="D62" i="5" s="1"/>
  <c r="C58" i="5"/>
  <c r="C62" i="5" s="1"/>
  <c r="B58" i="5"/>
  <c r="B62" i="5" s="1"/>
  <c r="F52" i="5"/>
  <c r="E52" i="5"/>
  <c r="D52" i="5"/>
  <c r="C52" i="5"/>
  <c r="B52" i="5"/>
  <c r="F42" i="5"/>
  <c r="E42" i="5"/>
  <c r="D42" i="5"/>
  <c r="C42" i="5"/>
  <c r="B42" i="5"/>
  <c r="F35" i="5"/>
  <c r="E35" i="5"/>
  <c r="D35" i="5"/>
  <c r="C35" i="5"/>
  <c r="B35" i="5"/>
  <c r="F26" i="5"/>
  <c r="E26" i="5"/>
  <c r="D26" i="5"/>
  <c r="C26" i="5"/>
  <c r="B26" i="5"/>
  <c r="F16" i="5"/>
  <c r="E16" i="5"/>
  <c r="D16" i="5"/>
  <c r="C16" i="5"/>
  <c r="B16" i="5"/>
  <c r="B58" i="2"/>
  <c r="B62" i="2" s="1"/>
  <c r="B67" i="2" s="1"/>
  <c r="B69" i="2" s="1"/>
  <c r="C58" i="2"/>
  <c r="C62" i="2" s="1"/>
  <c r="C67" i="2" s="1"/>
  <c r="C69" i="2" s="1"/>
  <c r="D58" i="2"/>
  <c r="D62" i="2" s="1"/>
  <c r="D67" i="2" s="1"/>
  <c r="D69" i="2" s="1"/>
  <c r="E58" i="2"/>
  <c r="E62" i="2" s="1"/>
  <c r="E67" i="2" s="1"/>
  <c r="E69" i="2" s="1"/>
  <c r="F58" i="2"/>
  <c r="F62" i="2" s="1"/>
  <c r="F67" i="2" s="1"/>
  <c r="F69" i="2" s="1"/>
  <c r="F58" i="6" l="1"/>
  <c r="H58" i="6"/>
  <c r="J58" i="6"/>
  <c r="E27" i="5"/>
  <c r="I26" i="5"/>
  <c r="J26" i="5" s="1"/>
  <c r="E67" i="5"/>
  <c r="E69" i="5" s="1"/>
  <c r="G16" i="5"/>
  <c r="H16" i="5" s="1"/>
  <c r="K35" i="5"/>
  <c r="L35" i="5" s="1"/>
  <c r="G52" i="5"/>
  <c r="H52" i="5" s="1"/>
  <c r="B67" i="5"/>
  <c r="B69" i="5" s="1"/>
  <c r="F67" i="5"/>
  <c r="F69" i="5" s="1"/>
  <c r="C67" i="5"/>
  <c r="C69" i="5" s="1"/>
  <c r="G35" i="5"/>
  <c r="H35" i="5" s="1"/>
  <c r="B53" i="5"/>
  <c r="B54" i="5" s="1"/>
  <c r="F53" i="5"/>
  <c r="K52" i="5"/>
  <c r="L52" i="5" s="1"/>
  <c r="D67" i="5"/>
  <c r="D69" i="5" s="1"/>
  <c r="M26" i="5"/>
  <c r="N26" i="5" s="1"/>
  <c r="I42" i="5"/>
  <c r="J42" i="5" s="1"/>
  <c r="I16" i="5"/>
  <c r="J16" i="5" s="1"/>
  <c r="G26" i="5"/>
  <c r="H26" i="5" s="1"/>
  <c r="M35" i="5"/>
  <c r="N35" i="5" s="1"/>
  <c r="K42" i="5"/>
  <c r="L42" i="5" s="1"/>
  <c r="I52" i="5"/>
  <c r="J52" i="5" s="1"/>
  <c r="B27" i="5"/>
  <c r="M16" i="5"/>
  <c r="N16" i="5" s="1"/>
  <c r="K26" i="5"/>
  <c r="L26" i="5" s="1"/>
  <c r="I35" i="5"/>
  <c r="J35" i="5" s="1"/>
  <c r="G42" i="5"/>
  <c r="H42" i="5" s="1"/>
  <c r="M52" i="5"/>
  <c r="N52" i="5" s="1"/>
  <c r="I62" i="5"/>
  <c r="J62" i="5" s="1"/>
  <c r="I58" i="5"/>
  <c r="J58" i="5" s="1"/>
  <c r="G67" i="5"/>
  <c r="H67" i="5" s="1"/>
  <c r="M62" i="5"/>
  <c r="N62" i="5" s="1"/>
  <c r="M58" i="5"/>
  <c r="N58" i="5" s="1"/>
  <c r="K16" i="5"/>
  <c r="L16" i="5" s="1"/>
  <c r="M42" i="5"/>
  <c r="N42" i="5" s="1"/>
  <c r="G62" i="5"/>
  <c r="H62" i="5" s="1"/>
  <c r="G58" i="5"/>
  <c r="H58" i="5" s="1"/>
  <c r="K62" i="5"/>
  <c r="L62" i="5" s="1"/>
  <c r="K58" i="5"/>
  <c r="L58" i="5" s="1"/>
  <c r="D27" i="5"/>
  <c r="E53" i="5"/>
  <c r="F27" i="5"/>
  <c r="D53" i="5"/>
  <c r="C27" i="5"/>
  <c r="C53" i="5"/>
  <c r="G53" i="5" s="1"/>
  <c r="H53" i="5" s="1"/>
  <c r="C54" i="5"/>
  <c r="B40" i="2"/>
  <c r="B33" i="2"/>
  <c r="D33" i="2"/>
  <c r="E33" i="2"/>
  <c r="F33" i="2"/>
  <c r="C33" i="2"/>
  <c r="D40" i="2"/>
  <c r="E40" i="2"/>
  <c r="F40" i="2"/>
  <c r="C40" i="2"/>
  <c r="B50" i="2"/>
  <c r="C50" i="2"/>
  <c r="B24" i="2"/>
  <c r="C24" i="2"/>
  <c r="B14" i="2"/>
  <c r="C14" i="2"/>
  <c r="D50" i="2"/>
  <c r="D24" i="2"/>
  <c r="D14" i="2"/>
  <c r="E50" i="2"/>
  <c r="E24" i="2"/>
  <c r="E14" i="2"/>
  <c r="F50" i="2"/>
  <c r="F24" i="2"/>
  <c r="F14" i="2"/>
  <c r="E4" i="7" l="1"/>
  <c r="K4" i="7"/>
  <c r="I4" i="7"/>
  <c r="C4" i="7"/>
  <c r="H4" i="7"/>
  <c r="B4" i="7"/>
  <c r="D4" i="7"/>
  <c r="J4" i="7"/>
  <c r="A4" i="7"/>
  <c r="G4" i="7"/>
  <c r="J55" i="6"/>
  <c r="J26" i="6"/>
  <c r="J15" i="6"/>
  <c r="J44" i="6"/>
  <c r="J36" i="6"/>
  <c r="H55" i="6"/>
  <c r="H44" i="6"/>
  <c r="H36" i="6"/>
  <c r="H26" i="6"/>
  <c r="H15" i="6"/>
  <c r="F44" i="6"/>
  <c r="F36" i="6"/>
  <c r="F26" i="6"/>
  <c r="F55" i="6"/>
  <c r="F15" i="6"/>
  <c r="B26" i="6"/>
  <c r="B44" i="6"/>
  <c r="B15" i="6"/>
  <c r="B36" i="6"/>
  <c r="I27" i="5"/>
  <c r="J27" i="5" s="1"/>
  <c r="M27" i="5"/>
  <c r="N27" i="5" s="1"/>
  <c r="M53" i="5"/>
  <c r="N53" i="5" s="1"/>
  <c r="K69" i="5"/>
  <c r="L69" i="5" s="1"/>
  <c r="K27" i="5"/>
  <c r="L27" i="5" s="1"/>
  <c r="I67" i="5"/>
  <c r="J67" i="5" s="1"/>
  <c r="G54" i="5"/>
  <c r="H54" i="5" s="1"/>
  <c r="M67" i="5"/>
  <c r="N67" i="5" s="1"/>
  <c r="M69" i="5"/>
  <c r="N69" i="5" s="1"/>
  <c r="G27" i="5"/>
  <c r="H27" i="5" s="1"/>
  <c r="F54" i="5"/>
  <c r="G69" i="5"/>
  <c r="H69" i="5" s="1"/>
  <c r="I53" i="5"/>
  <c r="J53" i="5" s="1"/>
  <c r="K67" i="5"/>
  <c r="L67" i="5" s="1"/>
  <c r="I69" i="5"/>
  <c r="J69" i="5" s="1"/>
  <c r="D54" i="5"/>
  <c r="I54" i="5" s="1"/>
  <c r="J54" i="5" s="1"/>
  <c r="E54" i="5"/>
  <c r="K54" i="5" s="1"/>
  <c r="L54" i="5" s="1"/>
  <c r="K53" i="5"/>
  <c r="L53" i="5" s="1"/>
  <c r="M54" i="5"/>
  <c r="N54" i="5" s="1"/>
  <c r="D51" i="2"/>
  <c r="D52" i="2" s="1"/>
  <c r="E25" i="2"/>
  <c r="B51" i="2"/>
  <c r="B52" i="2" s="1"/>
  <c r="D25" i="2"/>
  <c r="C51" i="2"/>
  <c r="C52" i="2" s="1"/>
  <c r="F25" i="2"/>
  <c r="E51" i="2"/>
  <c r="E52" i="2" s="1"/>
  <c r="B25" i="2"/>
  <c r="F51" i="2"/>
  <c r="F52" i="2" s="1"/>
  <c r="C25" i="2"/>
  <c r="D57" i="6" l="1"/>
  <c r="E31" i="6"/>
  <c r="E30" i="6"/>
  <c r="E34" i="6"/>
  <c r="E33" i="6"/>
  <c r="D58" i="6"/>
  <c r="D44" i="6" s="1"/>
  <c r="D36" i="6" l="1"/>
  <c r="D15" i="6"/>
  <c r="D26" i="6"/>
  <c r="D55" i="6"/>
</calcChain>
</file>

<file path=xl/sharedStrings.xml><?xml version="1.0" encoding="utf-8"?>
<sst xmlns="http://schemas.openxmlformats.org/spreadsheetml/2006/main" count="425" uniqueCount="124">
  <si>
    <t xml:space="preserve">Консолидированный финансовый отчет ПАО «М.Видео» о финансовом положении (в миллионах российских рублей) </t>
  </si>
  <si>
    <t xml:space="preserve">31 декабря 2017 года </t>
  </si>
  <si>
    <t>31 декабря 2018 года</t>
  </si>
  <si>
    <t>31 декабря 2019 года</t>
  </si>
  <si>
    <t>31 декабря 2020 года</t>
  </si>
  <si>
    <t>31 декабря 2021 года</t>
  </si>
  <si>
    <t xml:space="preserve">АКТИВЫ </t>
  </si>
  <si>
    <t>ВНЕОБОРОТНЫЕ АКТИВЫ</t>
  </si>
  <si>
    <t>Основные средства</t>
  </si>
  <si>
    <t>Инвестиционная недвижимость</t>
  </si>
  <si>
    <t>-</t>
  </si>
  <si>
    <t>Нематериальные активы</t>
  </si>
  <si>
    <t>Гудвил</t>
  </si>
  <si>
    <t>Активы в форме права пользования</t>
  </si>
  <si>
    <t>Инвестиции в ассоциированную организацию и совместное предприятие</t>
  </si>
  <si>
    <t>Финансовые активы</t>
  </si>
  <si>
    <t>Отложенные налоговые активы</t>
  </si>
  <si>
    <t>Прочие внеоборотные активы</t>
  </si>
  <si>
    <t>Итого внеоборотные активы</t>
  </si>
  <si>
    <t>ОБОРОТНЫЕ АКТИВЫ</t>
  </si>
  <si>
    <t>Товарно-материальные запасы</t>
  </si>
  <si>
    <t>Дебиторская задолженность</t>
  </si>
  <si>
    <t>Авансы выданные</t>
  </si>
  <si>
    <t>Дебиторская задолженность по налогу на прибыль</t>
  </si>
  <si>
    <t>Дебиторская задолженность по прочим налогам</t>
  </si>
  <si>
    <t>Прочие оборотные активы</t>
  </si>
  <si>
    <t>Денежные средства и их эквиваленты</t>
  </si>
  <si>
    <t>Активы, предназначенные для продажи</t>
  </si>
  <si>
    <t>Итого оборотные активы</t>
  </si>
  <si>
    <t>ИТОГО АКТИВЫ</t>
  </si>
  <si>
    <t xml:space="preserve">КАПИТАЛ </t>
  </si>
  <si>
    <t>Уставный капитал</t>
  </si>
  <si>
    <t>Добавочный капитал</t>
  </si>
  <si>
    <t>Выкупленные собственные акции</t>
  </si>
  <si>
    <t>Нераспределенная прибыль</t>
  </si>
  <si>
    <t>Неконтролирующие доли</t>
  </si>
  <si>
    <t>Итого капитал</t>
  </si>
  <si>
    <t xml:space="preserve">ДОЛГОСРОЧНЫЕ ОБЯЗАТЕЛЬСТВА </t>
  </si>
  <si>
    <t>Кредиты и прочие финансовые обязательства</t>
  </si>
  <si>
    <t>Обязательства по аренде</t>
  </si>
  <si>
    <t>Отложенные налоговые обязательства</t>
  </si>
  <si>
    <t>Прочие обязательства</t>
  </si>
  <si>
    <t xml:space="preserve">Резервы </t>
  </si>
  <si>
    <t>Итого долгосрочные обязательства</t>
  </si>
  <si>
    <t xml:space="preserve">КРАТКОСРОЧНЫЕ ОБЯЗАТЕЛЬСТВА </t>
  </si>
  <si>
    <t>Торговая кредиторская задолженность</t>
  </si>
  <si>
    <t>Прочая кредиторская задолженность и начисленные расходы</t>
  </si>
  <si>
    <t>Обязательства перед покупателями</t>
  </si>
  <si>
    <t>Кредиторская задолженность по налогу на прибыль</t>
  </si>
  <si>
    <t>Кредиторская задолженность по прочим налогам</t>
  </si>
  <si>
    <t>Резервы</t>
  </si>
  <si>
    <t>Итого краткосрочные обязательства</t>
  </si>
  <si>
    <t>Итого обязательства</t>
  </si>
  <si>
    <t>ИТОГО КАПИТАЛ И ОБЯЗАТЕЛЬСТВА</t>
  </si>
  <si>
    <t>Консолидированный финансовый отчет ПАО "М.Видео" о прибылях и убытках и общем совокупном доходе (в миллионах российских рублей, за исключением прибыли на акцию)</t>
  </si>
  <si>
    <t>Выручка</t>
  </si>
  <si>
    <t>Себестоимость реализации</t>
  </si>
  <si>
    <t>ВАЛОВАЯ ПРИБЫЛЬ</t>
  </si>
  <si>
    <t>Коммерческие, общехозяйственные и административные расходы</t>
  </si>
  <si>
    <t xml:space="preserve">Прочие операционные доходы </t>
  </si>
  <si>
    <t>Прочие операционные расходы</t>
  </si>
  <si>
    <t>ОПЕРАЦИОННАЯ ПРИБЫЛЬ</t>
  </si>
  <si>
    <t>Финансовые доходы</t>
  </si>
  <si>
    <t>Финансовые расходы</t>
  </si>
  <si>
    <t xml:space="preserve">Доходы от изменения справедливой стоимости финансовых инструментов, оцениваемых по справедливой стоимости </t>
  </si>
  <si>
    <t>Доля прибыли (убытка) ассоциированных и совместных предприятий</t>
  </si>
  <si>
    <t>ПРИБЫЛЬ ДО НАЛОГА НА ПРИБЫЛЬ</t>
  </si>
  <si>
    <t>Расходы по налогу на прибыль</t>
  </si>
  <si>
    <t>ИТОГО ЧИСТАЯ ПРИБЫЛЬ и ОБЩИЙ СОВОКУПНЫЙ ДОХОД за год</t>
  </si>
  <si>
    <t>Базовая прибыль на акцию (в российских рублях)</t>
  </si>
  <si>
    <t>Разводненная прибыль на акцию (в российских рублях)</t>
  </si>
  <si>
    <t xml:space="preserve">ИТОГО ЧИСТАЯ ПРИБЫЛЬ и ОБЩИЙ СОВОКУПНЫЙ ДОХОД за год с исключением доли прибыли (убытка) ассоциированных и совместных предприятий </t>
  </si>
  <si>
    <t>Сравнительный анализ</t>
  </si>
  <si>
    <t>Изменения (базовый год 2017)</t>
  </si>
  <si>
    <t>2018 год</t>
  </si>
  <si>
    <t>2019 год</t>
  </si>
  <si>
    <t>2020 год</t>
  </si>
  <si>
    <t>2021 год</t>
  </si>
  <si>
    <t xml:space="preserve">абсолютное изменение </t>
  </si>
  <si>
    <t xml:space="preserve">относительное изменение </t>
  </si>
  <si>
    <t xml:space="preserve">Анализ тенденций </t>
  </si>
  <si>
    <t>2017 год</t>
  </si>
  <si>
    <t>Итого активы</t>
  </si>
  <si>
    <t>Валовая прибыль</t>
  </si>
  <si>
    <t xml:space="preserve">ЧИСТАЯ ПРИБЫЛЬ </t>
  </si>
  <si>
    <t>Операционная прибыль</t>
  </si>
  <si>
    <t>в %</t>
  </si>
  <si>
    <t>Коэффициент текущей ликвидности</t>
  </si>
  <si>
    <t>Коэффициент срочной ликвидности</t>
  </si>
  <si>
    <t>1) Коэффициент автономии (КА) показывает, насколько предприятие независимо от кредиторов. Он отражает долю собственного капитала в составе всех источников финансирования. Чем выше значение коэффициента, тем с большей вероятностью предприятие может погасить долги за счет собственных средств. Общепринятое нормальное значение: 0,5 и более (оптимальное 0,6-0,7).</t>
  </si>
  <si>
    <t>В нащем примере КА за анализируемый период снижается с 0,19  в 2017г. до 0,05 в 2021 году, что отражает увеличение зависимости предприятия от внешних кредиторов.</t>
  </si>
  <si>
    <t>2) Коэффициент долгосрочной финансовой независимости (КДФН) показывает, какая часть общей стоимости активов предприятия сформирована за счет наиболее надежных источников финансирования, то есть не зависит от краткосрочных заемных средств.</t>
  </si>
  <si>
    <t>По существу, это уточненный коэффициент автономии. Если в составе пассивов предприятия есть долгосрочные обязательства, целесообразно использовать этот коэффициент вместо коэффициента автономии. Одним из рекомендуемых значений этого коэффициента является 0,9, критическим — 0,75. По условиям нашего примера КДФН за анализируемый период увеличивается с 0,19 в 2017 году до 0,5 в 2021году, что отражает уменьшение зависимости предприятия от краткосрочных заемных средств.</t>
  </si>
  <si>
    <t>3) Коэффициент финансовой зависимости (КФЗ) демонстрирует зависимость предприятия от внешних источников финансирования.</t>
  </si>
  <si>
    <t>Показывает способность предприятия, ликвидировав свои активы, полностью погасить обязательства. Нормальным считается коэффициент финансовой зависимости не более 0.6–0.7.По условиям нашего примера КФЗ за анализируемый период растет с 0,81 в 2017г. до 0,95 в 2021 году, что отражает увеличение зависимости предприятия от внешних кредиторов. Оптимальным является коэффициент 0.5.</t>
  </si>
  <si>
    <t>4) Коэффициент обеспеченности собственными оборотными средствами (КОСОС) позволяет рассчитать долю собственных оборотных средств в оборотных активах.</t>
  </si>
  <si>
    <t>КОСОС определяет степень обеспеченности организации собственными оборотными средствами, необходимыми для ее финансовой устойчивости. Нормальное значение: 0,1 и более.
В нашем примере КОСОС за анализируемый период снижается с -0.01 в 2017г. до отрицательного значения −0,61 в 2021 году, что характеризует резкое снижение собственных оборотных средств.</t>
  </si>
  <si>
    <t>5) Коэффициент капитализации (КК) — показывает соотношение заемных и собственных средств.</t>
  </si>
  <si>
    <t>Чем больше коэффициент превышает 1, тем больше зависимость предприятия от заемных средств.
В примере КК за анализируемый период увеличился с 4,25 в 2017г. до 18,10 в 2021 году, что отражает резкое увеличение зависимости предприятия от заемных источников финансирования.</t>
  </si>
  <si>
    <t>6) Коэффициент финансирования (КФ) показывает, какая часть деятельности финансируется за счет собственных средств, а какая — за счет заемных.</t>
  </si>
  <si>
    <t>Чем ниже данный показатель, тем предприятие более зависимо от заемного капитала. По условиям нашего примера КФ за анализируемый период снижается с 0,24 в 2017г. до 0,06 в 2021 году, что отражает увеличение зависимости предприятия от заемных источников.</t>
  </si>
  <si>
    <t>7) Коэффициент долгосрочного привлечения заемных средств (КДПЗС) показывает, какая часть в источниках формирования внеоборотных активов на отчетную дату приходится на собственный капитал, а какая на долгосрочные заемные средства.</t>
  </si>
  <si>
    <t xml:space="preserve">
Высокое значение этого показателя свидетельствует о сильной зависимости от привлеченного капитала, о необходимости выплачивать в перспективе значительные суммы денежных средств в виде процентов за пользование кредитами.
В рассматриваемом примере КДПЗС за анализируемый период вырос с нуля в 2017г. до 0,81 в 2021 году, что показывает увелечение собственного капитала за счет заемных средств.</t>
  </si>
  <si>
    <t>8) Коэффициент маневренности собственного капитала (КМСК) — показывает, какая часть чистого оборотного капитала приходится на 1 руб. собственных средств.</t>
  </si>
  <si>
    <t>Коэффициент маневренности характеризует какая доля источников собственных средств находится в мобильной форме. Рекомендуемое значение — 0,5 и выше.
По условиям нашего примера КМСК за анализируемый период снизился с -0,02 в 2017г. до-2,62 в 2021 году, что показывает на снижения маневренности капитала</t>
  </si>
  <si>
    <t xml:space="preserve">Коэффициент оборачиваемости запасов </t>
  </si>
  <si>
    <t xml:space="preserve">Период оборачиваемости запасов </t>
  </si>
  <si>
    <t xml:space="preserve">Оборачиваемость дебиторской задолженности </t>
  </si>
  <si>
    <t xml:space="preserve">Оборачиваемость кредиторской задолженности </t>
  </si>
  <si>
    <t>Денежный цикл</t>
  </si>
  <si>
    <t xml:space="preserve">Период погашения кредиторской задолженности </t>
  </si>
  <si>
    <t xml:space="preserve">Период погашения дебиторской задолженности </t>
  </si>
  <si>
    <t>Мвидео</t>
  </si>
  <si>
    <t>DNS</t>
  </si>
  <si>
    <t>Средний по сфере( код ОКВЭД 47)</t>
  </si>
  <si>
    <t>Текущая ликвидность</t>
  </si>
  <si>
    <t>Срочная ликвидность</t>
  </si>
  <si>
    <t>Средний по сфере (код ОКВЭД 47)</t>
  </si>
  <si>
    <t>Сравнение с конкурентом (DNS)</t>
  </si>
  <si>
    <t>Рентабельность активов, % (ROA)</t>
  </si>
  <si>
    <t>Рентабельность собственного капитала, % (ROE)</t>
  </si>
  <si>
    <t>Рентабельность задействованного капитала, % (ROCE)</t>
  </si>
  <si>
    <t>Рентабельность активов, % (Return on assets - ROA)</t>
  </si>
  <si>
    <t>Рентабельность собственного капитала, % (Return on equity - ROE)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</si>
</sst>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₽_-;\-* #,##0\ _₽_-;_-* &quot;-&quot;\ _₽_-;_-@_-"/>
    <numFmt numFmtId="164" formatCode="0.0%"/>
    <numFmt numFmtId="165" formatCode="0.000%"/>
    <numFmt numFmtId="166" formatCode="#,##0\ _₽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5C5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15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wrapText="1"/>
    </xf>
    <xf numFmtId="0" fontId="1" fillId="0" borderId="4" xfId="0" applyFont="1" applyBorder="1"/>
    <xf numFmtId="0" fontId="0" fillId="0" borderId="4" xfId="0" applyBorder="1"/>
    <xf numFmtId="0" fontId="0" fillId="0" borderId="3" xfId="0" applyBorder="1"/>
    <xf numFmtId="0" fontId="1" fillId="0" borderId="3" xfId="0" applyFont="1" applyBorder="1"/>
    <xf numFmtId="0" fontId="0" fillId="0" borderId="5" xfId="0" applyBorder="1"/>
    <xf numFmtId="0" fontId="1" fillId="0" borderId="4" xfId="0" applyFont="1" applyBorder="1" applyAlignment="1">
      <alignment wrapText="1"/>
    </xf>
    <xf numFmtId="0" fontId="1" fillId="0" borderId="2" xfId="0" applyFont="1" applyBorder="1"/>
    <xf numFmtId="0" fontId="1" fillId="0" borderId="6" xfId="0" applyFont="1" applyBorder="1"/>
    <xf numFmtId="0" fontId="0" fillId="0" borderId="6" xfId="0" applyBorder="1"/>
    <xf numFmtId="0" fontId="1" fillId="2" borderId="4" xfId="0" applyFont="1" applyFill="1" applyBorder="1"/>
    <xf numFmtId="0" fontId="2" fillId="0" borderId="1" xfId="0" applyFont="1" applyBorder="1"/>
    <xf numFmtId="0" fontId="2" fillId="0" borderId="4" xfId="0" applyFont="1" applyBorder="1"/>
    <xf numFmtId="0" fontId="1" fillId="0" borderId="0" xfId="0" applyFont="1" applyAlignment="1">
      <alignment wrapText="1"/>
    </xf>
    <xf numFmtId="0" fontId="1" fillId="2" borderId="4" xfId="0" applyFont="1" applyFill="1" applyBorder="1" applyAlignment="1">
      <alignment wrapText="1"/>
    </xf>
    <xf numFmtId="0" fontId="3" fillId="0" borderId="4" xfId="0" applyFont="1" applyBorder="1"/>
    <xf numFmtId="0" fontId="0" fillId="0" borderId="0" xfId="0" applyAlignment="1">
      <alignment horizontal="right"/>
    </xf>
    <xf numFmtId="0" fontId="3" fillId="0" borderId="3" xfId="0" applyFont="1" applyBorder="1"/>
    <xf numFmtId="0" fontId="0" fillId="0" borderId="4" xfId="0" applyBorder="1" applyAlignment="1">
      <alignment horizontal="right"/>
    </xf>
    <xf numFmtId="0" fontId="3" fillId="0" borderId="4" xfId="0" applyFont="1" applyBorder="1" applyAlignment="1">
      <alignment horizontal="right"/>
    </xf>
    <xf numFmtId="0" fontId="0" fillId="0" borderId="3" xfId="0" applyBorder="1" applyAlignment="1">
      <alignment horizontal="right"/>
    </xf>
    <xf numFmtId="0" fontId="3" fillId="0" borderId="5" xfId="0" applyFont="1" applyBorder="1"/>
    <xf numFmtId="0" fontId="2" fillId="2" borderId="4" xfId="0" applyFont="1" applyFill="1" applyBorder="1"/>
    <xf numFmtId="0" fontId="2" fillId="0" borderId="2" xfId="0" applyFont="1" applyBorder="1" applyAlignment="1">
      <alignment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right"/>
    </xf>
    <xf numFmtId="10" fontId="0" fillId="0" borderId="0" xfId="0" applyNumberFormat="1"/>
    <xf numFmtId="164" fontId="0" fillId="0" borderId="0" xfId="0" applyNumberFormat="1"/>
    <xf numFmtId="9" fontId="0" fillId="0" borderId="0" xfId="0" applyNumberFormat="1"/>
    <xf numFmtId="0" fontId="1" fillId="2" borderId="6" xfId="0" applyFont="1" applyFill="1" applyBorder="1" applyAlignment="1">
      <alignment horizontal="center" wrapText="1"/>
    </xf>
    <xf numFmtId="0" fontId="2" fillId="0" borderId="6" xfId="0" applyFont="1" applyBorder="1"/>
    <xf numFmtId="0" fontId="0" fillId="0" borderId="6" xfId="0" applyBorder="1" applyAlignment="1">
      <alignment horizontal="right"/>
    </xf>
    <xf numFmtId="0" fontId="3" fillId="0" borderId="6" xfId="0" applyFont="1" applyBorder="1"/>
    <xf numFmtId="0" fontId="1" fillId="0" borderId="3" xfId="0" applyFont="1" applyBorder="1" applyAlignment="1">
      <alignment horizontal="center" wrapText="1"/>
    </xf>
    <xf numFmtId="0" fontId="2" fillId="0" borderId="3" xfId="0" applyFont="1" applyBorder="1"/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0" fillId="0" borderId="8" xfId="0" applyBorder="1"/>
    <xf numFmtId="0" fontId="0" fillId="0" borderId="9" xfId="0" applyBorder="1"/>
    <xf numFmtId="10" fontId="0" fillId="0" borderId="9" xfId="0" applyNumberFormat="1" applyBorder="1"/>
    <xf numFmtId="0" fontId="2" fillId="0" borderId="8" xfId="0" applyFont="1" applyBorder="1"/>
    <xf numFmtId="10" fontId="2" fillId="0" borderId="9" xfId="0" applyNumberFormat="1" applyFont="1" applyBorder="1"/>
    <xf numFmtId="9" fontId="0" fillId="0" borderId="9" xfId="0" applyNumberFormat="1" applyBorder="1"/>
    <xf numFmtId="9" fontId="2" fillId="0" borderId="9" xfId="0" applyNumberFormat="1" applyFont="1" applyBorder="1"/>
    <xf numFmtId="164" fontId="2" fillId="0" borderId="9" xfId="0" applyNumberFormat="1" applyFont="1" applyBorder="1"/>
    <xf numFmtId="164" fontId="0" fillId="0" borderId="9" xfId="0" applyNumberFormat="1" applyBorder="1"/>
    <xf numFmtId="0" fontId="5" fillId="0" borderId="0" xfId="0" applyFont="1"/>
    <xf numFmtId="0" fontId="2" fillId="2" borderId="4" xfId="0" applyFont="1" applyFill="1" applyBorder="1" applyAlignment="1">
      <alignment horizontal="center"/>
    </xf>
    <xf numFmtId="10" fontId="0" fillId="0" borderId="4" xfId="0" applyNumberFormat="1" applyBorder="1"/>
    <xf numFmtId="9" fontId="0" fillId="0" borderId="4" xfId="0" applyNumberFormat="1" applyBorder="1"/>
    <xf numFmtId="0" fontId="0" fillId="0" borderId="4" xfId="0" applyBorder="1" applyAlignment="1">
      <alignment wrapText="1"/>
    </xf>
    <xf numFmtId="0" fontId="2" fillId="0" borderId="4" xfId="0" applyFont="1" applyBorder="1" applyAlignment="1">
      <alignment horizontal="center"/>
    </xf>
    <xf numFmtId="0" fontId="2" fillId="0" borderId="0" xfId="0" applyFont="1"/>
    <xf numFmtId="0" fontId="0" fillId="0" borderId="4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0" fillId="0" borderId="10" xfId="0" applyBorder="1"/>
    <xf numFmtId="0" fontId="1" fillId="2" borderId="6" xfId="0" applyFont="1" applyFill="1" applyBorder="1"/>
    <xf numFmtId="0" fontId="0" fillId="0" borderId="0" xfId="0" applyAlignment="1">
      <alignment wrapText="1"/>
    </xf>
    <xf numFmtId="0" fontId="2" fillId="4" borderId="0" xfId="0" applyFont="1" applyFill="1"/>
    <xf numFmtId="0" fontId="2" fillId="5" borderId="0" xfId="0" applyFont="1" applyFill="1"/>
    <xf numFmtId="0" fontId="1" fillId="0" borderId="7" xfId="0" applyFont="1" applyBorder="1"/>
    <xf numFmtId="0" fontId="1" fillId="2" borderId="6" xfId="0" applyFont="1" applyFill="1" applyBorder="1" applyAlignment="1">
      <alignment wrapText="1"/>
    </xf>
    <xf numFmtId="0" fontId="2" fillId="2" borderId="6" xfId="0" applyFont="1" applyFill="1" applyBorder="1"/>
    <xf numFmtId="0" fontId="2" fillId="0" borderId="7" xfId="0" applyFont="1" applyBorder="1" applyAlignment="1">
      <alignment wrapText="1"/>
    </xf>
    <xf numFmtId="0" fontId="4" fillId="0" borderId="4" xfId="0" applyFont="1" applyBorder="1" applyAlignment="1">
      <alignment horizontal="center" wrapText="1"/>
    </xf>
    <xf numFmtId="1" fontId="0" fillId="4" borderId="4" xfId="0" applyNumberFormat="1" applyFill="1" applyBorder="1" applyAlignment="1">
      <alignment horizontal="center"/>
    </xf>
    <xf numFmtId="10" fontId="1" fillId="6" borderId="4" xfId="1" applyNumberFormat="1" applyFont="1" applyFill="1" applyBorder="1" applyAlignment="1">
      <alignment horizontal="center"/>
    </xf>
    <xf numFmtId="10" fontId="1" fillId="5" borderId="4" xfId="1" applyNumberFormat="1" applyFont="1" applyFill="1" applyBorder="1" applyAlignment="1">
      <alignment horizontal="center"/>
    </xf>
    <xf numFmtId="165" fontId="1" fillId="6" borderId="4" xfId="1" applyNumberFormat="1" applyFont="1" applyFill="1" applyBorder="1" applyAlignment="1">
      <alignment horizontal="center"/>
    </xf>
    <xf numFmtId="9" fontId="0" fillId="3" borderId="4" xfId="1" applyFont="1" applyFill="1" applyBorder="1" applyAlignment="1">
      <alignment horizontal="center"/>
    </xf>
    <xf numFmtId="9" fontId="0" fillId="5" borderId="4" xfId="1" applyFont="1" applyFill="1" applyBorder="1" applyAlignment="1">
      <alignment horizontal="center"/>
    </xf>
    <xf numFmtId="166" fontId="2" fillId="4" borderId="4" xfId="0" applyNumberFormat="1" applyFont="1" applyFill="1" applyBorder="1" applyAlignment="1">
      <alignment horizontal="center"/>
    </xf>
    <xf numFmtId="166" fontId="2" fillId="5" borderId="4" xfId="0" applyNumberFormat="1" applyFont="1" applyFill="1" applyBorder="1" applyAlignment="1">
      <alignment horizontal="center"/>
    </xf>
    <xf numFmtId="10" fontId="0" fillId="3" borderId="4" xfId="1" applyNumberFormat="1" applyFont="1" applyFill="1" applyBorder="1" applyAlignment="1">
      <alignment horizontal="center"/>
    </xf>
    <xf numFmtId="41" fontId="7" fillId="6" borderId="4" xfId="0" applyNumberFormat="1" applyFont="1" applyFill="1" applyBorder="1" applyAlignment="1">
      <alignment horizontal="center"/>
    </xf>
    <xf numFmtId="41" fontId="2" fillId="0" borderId="4" xfId="0" applyNumberFormat="1" applyFont="1" applyBorder="1" applyAlignment="1">
      <alignment horizontal="center"/>
    </xf>
    <xf numFmtId="0" fontId="3" fillId="4" borderId="10" xfId="0" applyFont="1" applyFill="1" applyBorder="1"/>
    <xf numFmtId="0" fontId="3" fillId="4" borderId="4" xfId="0" applyFont="1" applyFill="1" applyBorder="1" applyAlignment="1">
      <alignment horizontal="center"/>
    </xf>
    <xf numFmtId="9" fontId="0" fillId="4" borderId="4" xfId="1" applyFont="1" applyFill="1" applyBorder="1" applyAlignment="1">
      <alignment horizontal="center"/>
    </xf>
    <xf numFmtId="0" fontId="0" fillId="9" borderId="0" xfId="0" applyFill="1"/>
    <xf numFmtId="2" fontId="0" fillId="0" borderId="0" xfId="0" applyNumberFormat="1"/>
    <xf numFmtId="0" fontId="0" fillId="0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11" xfId="0" applyFill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0" xfId="0" applyFont="1" applyAlignment="1">
      <alignment horizontal="left" wrapText="1"/>
    </xf>
    <xf numFmtId="0" fontId="4" fillId="0" borderId="7" xfId="0" applyFont="1" applyBorder="1" applyAlignment="1">
      <alignment horizontal="left" wrapText="1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8" fillId="7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colors>
    <mruColors>
      <color rgb="FFFFAA00"/>
      <color rgb="FFFF9C00"/>
      <color rgb="FFFF5C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Активы, млн руб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cat>
            <c:strRef>
              <c:f>'ОФП и ОПУ'!$B$2:$F$2</c:f>
              <c:strCache>
                <c:ptCount val="5"/>
                <c:pt idx="0">
                  <c:v>31 декабря 2017 года </c:v>
                </c:pt>
                <c:pt idx="1">
                  <c:v>31 декабря 2018 года</c:v>
                </c:pt>
                <c:pt idx="2">
                  <c:v>31 декабря 2019 года</c:v>
                </c:pt>
                <c:pt idx="3">
                  <c:v>31 декабря 2020 года</c:v>
                </c:pt>
                <c:pt idx="4">
                  <c:v>31 декабря 2021 года</c:v>
                </c:pt>
              </c:strCache>
            </c:strRef>
          </c:cat>
          <c:val>
            <c:numRef>
              <c:f>'ОФП и ОПУ'!$B$25:$F$25</c:f>
              <c:numCache>
                <c:formatCode>General</c:formatCode>
                <c:ptCount val="5"/>
                <c:pt idx="0">
                  <c:v>121525</c:v>
                </c:pt>
                <c:pt idx="1">
                  <c:v>285434</c:v>
                </c:pt>
                <c:pt idx="2">
                  <c:v>349628</c:v>
                </c:pt>
                <c:pt idx="3">
                  <c:v>396704</c:v>
                </c:pt>
                <c:pt idx="4">
                  <c:v>443372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200-7B46-A05E-A64202A9B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08873736"/>
        <c:axId val="508874128"/>
      </c:lineChart>
      <c:catAx>
        <c:axId val="508873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874128"/>
        <c:crosses val="autoZero"/>
        <c:auto val="1"/>
        <c:lblAlgn val="ctr"/>
        <c:lblOffset val="100"/>
        <c:noMultiLvlLbl val="0"/>
      </c:catAx>
      <c:valAx>
        <c:axId val="508874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873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Период</a:t>
            </a:r>
            <a:r>
              <a:rPr lang="ru-RU" baseline="0"/>
              <a:t> погашения К/З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cat>
            <c:numRef>
              <c:f>'ОФП и ОПУ'!$N$57:$R$57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'ОФП и ОПУ'!$N$58:$R$58</c:f>
              <c:numCache>
                <c:formatCode>General</c:formatCode>
                <c:ptCount val="5"/>
                <c:pt idx="0">
                  <c:v>173.25046152831806</c:v>
                </c:pt>
                <c:pt idx="1">
                  <c:v>175.46609173358411</c:v>
                </c:pt>
                <c:pt idx="2">
                  <c:v>220.67319792954774</c:v>
                </c:pt>
                <c:pt idx="3">
                  <c:v>218.60177304521997</c:v>
                </c:pt>
                <c:pt idx="4">
                  <c:v>213.01100626869663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AB3-EE41-97A8-A8F4BF177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99475672"/>
        <c:axId val="299476064"/>
      </c:lineChart>
      <c:catAx>
        <c:axId val="299475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9476064"/>
        <c:crosses val="autoZero"/>
        <c:auto val="1"/>
        <c:lblAlgn val="ctr"/>
        <c:lblOffset val="100"/>
        <c:noMultiLvlLbl val="0"/>
      </c:catAx>
      <c:valAx>
        <c:axId val="299476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9475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период</a:t>
            </a:r>
            <a:r>
              <a:rPr lang="ru-RU" baseline="0"/>
              <a:t> погашения Д/З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cat>
            <c:numRef>
              <c:f>'ОФП и ОПУ'!$N$61:$R$61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'ОФП и ОПУ'!$N$62:$R$62</c:f>
              <c:numCache>
                <c:formatCode>General</c:formatCode>
                <c:ptCount val="5"/>
                <c:pt idx="0">
                  <c:v>30.70595165416227</c:v>
                </c:pt>
                <c:pt idx="1">
                  <c:v>28.682046514814608</c:v>
                </c:pt>
                <c:pt idx="2">
                  <c:v>31.864643115307103</c:v>
                </c:pt>
                <c:pt idx="3">
                  <c:v>35.097413708517507</c:v>
                </c:pt>
                <c:pt idx="4">
                  <c:v>35.663363520333192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A0-3745-9226-BC18BF98D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99476848"/>
        <c:axId val="299477240"/>
      </c:lineChart>
      <c:catAx>
        <c:axId val="29947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9477240"/>
        <c:crosses val="autoZero"/>
        <c:auto val="1"/>
        <c:lblAlgn val="ctr"/>
        <c:lblOffset val="100"/>
        <c:noMultiLvlLbl val="0"/>
      </c:catAx>
      <c:valAx>
        <c:axId val="299477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947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Денежный</a:t>
            </a:r>
            <a:r>
              <a:rPr lang="ru-RU" baseline="0"/>
              <a:t> цикл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cat>
            <c:numRef>
              <c:f>'ОФП и ОПУ'!$H$67:$L$67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'ОФП и ОПУ'!$H$68:$L$68</c:f>
              <c:numCache>
                <c:formatCode>General</c:formatCode>
                <c:ptCount val="5"/>
                <c:pt idx="0">
                  <c:v>-25.282213441110372</c:v>
                </c:pt>
                <c:pt idx="1">
                  <c:v>-22.267686021696136</c:v>
                </c:pt>
                <c:pt idx="2">
                  <c:v>-27.533417385964157</c:v>
                </c:pt>
                <c:pt idx="3">
                  <c:v>-26.292397287295557</c:v>
                </c:pt>
                <c:pt idx="4">
                  <c:v>-28.620901290806273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2C8-CB4C-A4D0-BC19E4003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99483512"/>
        <c:axId val="299484296"/>
      </c:lineChart>
      <c:catAx>
        <c:axId val="29948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9484296"/>
        <c:crosses val="autoZero"/>
        <c:auto val="1"/>
        <c:lblAlgn val="ctr"/>
        <c:lblOffset val="100"/>
        <c:noMultiLvlLbl val="0"/>
      </c:catAx>
      <c:valAx>
        <c:axId val="299484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9483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ПЕРИОД ОБОБРАЧИВАЕМОСТИ ЗАПАСОВ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'ОФП и ОПУ'!$AG$53:$AK$53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'ОФП и ОПУ'!$AG$54:$AK$54</c:f>
              <c:numCache>
                <c:formatCode>General</c:formatCode>
                <c:ptCount val="5"/>
                <c:pt idx="0">
                  <c:v>11.515794876355145</c:v>
                </c:pt>
                <c:pt idx="1">
                  <c:v>69.166687587222029</c:v>
                </c:pt>
                <c:pt idx="2">
                  <c:v>107.34608245839762</c:v>
                </c:pt>
                <c:pt idx="3">
                  <c:v>98.959149363649416</c:v>
                </c:pt>
                <c:pt idx="4">
                  <c:v>98.231283110761609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D16-6C4C-A15C-1F2B054F1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99498408"/>
        <c:axId val="299499976"/>
      </c:lineChart>
      <c:catAx>
        <c:axId val="29949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9499976"/>
        <c:crosses val="autoZero"/>
        <c:auto val="1"/>
        <c:lblAlgn val="ctr"/>
        <c:lblOffset val="100"/>
        <c:noMultiLvlLbl val="0"/>
      </c:catAx>
      <c:valAx>
        <c:axId val="299499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949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ПЕРИОД</a:t>
            </a:r>
            <a:r>
              <a:rPr lang="ru-RU" baseline="0"/>
              <a:t> ПОГАШЕНИЯ К/З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'ОФП и ОПУ'!$AG$57:$AK$57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'ОФП и ОПУ'!$AG$58:$AK$58</c:f>
              <c:numCache>
                <c:formatCode>General</c:formatCode>
                <c:ptCount val="5"/>
                <c:pt idx="0">
                  <c:v>4239.5130178933205</c:v>
                </c:pt>
                <c:pt idx="1">
                  <c:v>22.929804891524391</c:v>
                </c:pt>
                <c:pt idx="2">
                  <c:v>33.951791378801119</c:v>
                </c:pt>
                <c:pt idx="3">
                  <c:v>35.670908904404783</c:v>
                </c:pt>
                <c:pt idx="4">
                  <c:v>39.644172515706252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6A-524E-89EE-8EFC5E3FC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99502328"/>
        <c:axId val="299504680"/>
      </c:lineChart>
      <c:catAx>
        <c:axId val="299502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9504680"/>
        <c:crosses val="autoZero"/>
        <c:auto val="1"/>
        <c:lblAlgn val="ctr"/>
        <c:lblOffset val="100"/>
        <c:noMultiLvlLbl val="0"/>
      </c:catAx>
      <c:valAx>
        <c:axId val="299504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9502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ПЕРИОД ПОГАШЕНИЯ Д/З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'ОФП и ОПУ'!$AG$61:$AK$61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'ОФП и ОПУ'!$AG$62:$AK$62</c:f>
              <c:numCache>
                <c:formatCode>General</c:formatCode>
                <c:ptCount val="5"/>
                <c:pt idx="0">
                  <c:v>1906.8281963559866</c:v>
                </c:pt>
                <c:pt idx="1">
                  <c:v>17.584315735332009</c:v>
                </c:pt>
                <c:pt idx="2">
                  <c:v>8.6925152643498116</c:v>
                </c:pt>
                <c:pt idx="3">
                  <c:v>6.9936882824519602</c:v>
                </c:pt>
                <c:pt idx="4">
                  <c:v>9.9002569792791384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4FE-6A47-B601-D2D195EE3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99505856"/>
        <c:axId val="299504288"/>
      </c:lineChart>
      <c:catAx>
        <c:axId val="29950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9504288"/>
        <c:crosses val="autoZero"/>
        <c:auto val="1"/>
        <c:lblAlgn val="ctr"/>
        <c:lblOffset val="100"/>
        <c:noMultiLvlLbl val="0"/>
      </c:catAx>
      <c:valAx>
        <c:axId val="299504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950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ДЕНЕЖНЫЙ ЦИКЛ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'ОФП и ОПУ'!$AA$67:$AE$67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'ОФП и ОПУ'!$AA$68:$AE$68</c:f>
              <c:numCache>
                <c:formatCode>General</c:formatCode>
                <c:ptCount val="5"/>
                <c:pt idx="0">
                  <c:v>-2321.1690266609785</c:v>
                </c:pt>
                <c:pt idx="1">
                  <c:v>63.82119843102965</c:v>
                </c:pt>
                <c:pt idx="2">
                  <c:v>82.086806343946307</c:v>
                </c:pt>
                <c:pt idx="3">
                  <c:v>70.281928741696589</c:v>
                </c:pt>
                <c:pt idx="4">
                  <c:v>68.487367574334485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DE-A64F-918C-CD9A16669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99441176"/>
        <c:axId val="299448232"/>
      </c:lineChart>
      <c:catAx>
        <c:axId val="299441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9448232"/>
        <c:crosses val="autoZero"/>
        <c:auto val="1"/>
        <c:lblAlgn val="ctr"/>
        <c:lblOffset val="100"/>
        <c:noMultiLvlLbl val="0"/>
      </c:catAx>
      <c:valAx>
        <c:axId val="299448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9441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Период</a:t>
            </a:r>
            <a:r>
              <a:rPr lang="ru-RU" baseline="0"/>
              <a:t> оборачиваемости запасов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DNS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'ОФП и ОПУ'!$AA$74:$AC$74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'ОФП и ОПУ'!$AA$75:$AC$75</c:f>
              <c:numCache>
                <c:formatCode>General</c:formatCode>
                <c:ptCount val="3"/>
                <c:pt idx="0">
                  <c:v>107.34608245839762</c:v>
                </c:pt>
                <c:pt idx="1">
                  <c:v>98.959149363649416</c:v>
                </c:pt>
                <c:pt idx="2">
                  <c:v>98.231283110761609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44-4F49-AEDD-C967F93BB8AC}"/>
            </c:ext>
          </c:extLst>
        </c:ser>
        <c:ser>
          <c:idx val="1"/>
          <c:order val="1"/>
          <c:tx>
            <c:v>МВидео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'ОФП и ОПУ'!$AA$74:$AC$74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'ОФП и ОПУ'!$AA$76:$AC$76</c:f>
              <c:numCache>
                <c:formatCode>General</c:formatCode>
                <c:ptCount val="3"/>
                <c:pt idx="0">
                  <c:v>161.27513742827648</c:v>
                </c:pt>
                <c:pt idx="1">
                  <c:v>157.21196204940691</c:v>
                </c:pt>
                <c:pt idx="2">
                  <c:v>148.72674145755718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444-4F49-AEDD-C967F93BB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99443920"/>
        <c:axId val="299449408"/>
      </c:lineChart>
      <c:catAx>
        <c:axId val="29944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9449408"/>
        <c:crosses val="autoZero"/>
        <c:auto val="1"/>
        <c:lblAlgn val="ctr"/>
        <c:lblOffset val="100"/>
        <c:noMultiLvlLbl val="0"/>
      </c:catAx>
      <c:valAx>
        <c:axId val="299449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944392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Период</a:t>
            </a:r>
            <a:r>
              <a:rPr lang="ru-RU" baseline="0"/>
              <a:t> оборачиваемости К/З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DNS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'ОФП и ОПУ'!$AA$78:$AC$78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'ОФП и ОПУ'!$AA$79:$AC$79</c:f>
              <c:numCache>
                <c:formatCode>General</c:formatCode>
                <c:ptCount val="3"/>
                <c:pt idx="0">
                  <c:v>33.951791378801119</c:v>
                </c:pt>
                <c:pt idx="1">
                  <c:v>35.670908904404783</c:v>
                </c:pt>
                <c:pt idx="2">
                  <c:v>39.644172515706252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4D-F44B-9241-D6949B2B7128}"/>
            </c:ext>
          </c:extLst>
        </c:ser>
        <c:ser>
          <c:idx val="1"/>
          <c:order val="1"/>
          <c:tx>
            <c:v>МВидео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'ОФП и ОПУ'!$AA$78:$AC$78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'ОФП и ОПУ'!$AA$80:$AC$80</c:f>
              <c:numCache>
                <c:formatCode>General</c:formatCode>
                <c:ptCount val="3"/>
                <c:pt idx="0">
                  <c:v>220.67319792954774</c:v>
                </c:pt>
                <c:pt idx="1">
                  <c:v>218.60177304521997</c:v>
                </c:pt>
                <c:pt idx="2">
                  <c:v>213.01100626869663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54D-F44B-9241-D6949B2B7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00311312"/>
        <c:axId val="300309352"/>
      </c:lineChart>
      <c:catAx>
        <c:axId val="30031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0309352"/>
        <c:crosses val="autoZero"/>
        <c:auto val="1"/>
        <c:lblAlgn val="ctr"/>
        <c:lblOffset val="100"/>
        <c:noMultiLvlLbl val="0"/>
      </c:catAx>
      <c:valAx>
        <c:axId val="300309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03113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Период оборачиваемости Д/З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DNS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'ОФП и ОПУ'!$AA$82:$AC$82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'ОФП и ОПУ'!$AA$83:$AC$83</c:f>
              <c:numCache>
                <c:formatCode>General</c:formatCode>
                <c:ptCount val="3"/>
                <c:pt idx="0">
                  <c:v>8.6925152643498116</c:v>
                </c:pt>
                <c:pt idx="1">
                  <c:v>6.9936882824519602</c:v>
                </c:pt>
                <c:pt idx="2">
                  <c:v>9.9002569792791384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36-2546-A581-CC44F134140C}"/>
            </c:ext>
          </c:extLst>
        </c:ser>
        <c:ser>
          <c:idx val="1"/>
          <c:order val="1"/>
          <c:tx>
            <c:v>МВидео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'ОФП и ОПУ'!$AA$82:$AC$82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'ОФП и ОПУ'!$AA$84:$AC$84</c:f>
              <c:numCache>
                <c:formatCode>General</c:formatCode>
                <c:ptCount val="3"/>
                <c:pt idx="0">
                  <c:v>31.864643115307103</c:v>
                </c:pt>
                <c:pt idx="1">
                  <c:v>35.097413708517507</c:v>
                </c:pt>
                <c:pt idx="2">
                  <c:v>35.663363520333192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336-2546-A581-CC44F1341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00310920"/>
        <c:axId val="300312096"/>
      </c:lineChart>
      <c:catAx>
        <c:axId val="300310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0312096"/>
        <c:crosses val="autoZero"/>
        <c:auto val="1"/>
        <c:lblAlgn val="ctr"/>
        <c:lblOffset val="100"/>
        <c:noMultiLvlLbl val="0"/>
      </c:catAx>
      <c:valAx>
        <c:axId val="300312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031092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капитал,</a:t>
            </a:r>
            <a:r>
              <a:rPr lang="ru-RU" baseline="0"/>
              <a:t> млн руб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cat>
            <c:strRef>
              <c:f>'ОФП и ОПУ'!$B$2:$F$2</c:f>
              <c:strCache>
                <c:ptCount val="5"/>
                <c:pt idx="0">
                  <c:v>31 декабря 2017 года </c:v>
                </c:pt>
                <c:pt idx="1">
                  <c:v>31 декабря 2018 года</c:v>
                </c:pt>
                <c:pt idx="2">
                  <c:v>31 декабря 2019 года</c:v>
                </c:pt>
                <c:pt idx="3">
                  <c:v>31 декабря 2020 года</c:v>
                </c:pt>
                <c:pt idx="4">
                  <c:v>31 декабря 2021 года</c:v>
                </c:pt>
              </c:strCache>
            </c:strRef>
          </c:cat>
          <c:val>
            <c:numRef>
              <c:f>'ОФП и ОПУ'!$B$33:$F$33</c:f>
              <c:numCache>
                <c:formatCode>General</c:formatCode>
                <c:ptCount val="5"/>
                <c:pt idx="0">
                  <c:v>23154</c:v>
                </c:pt>
                <c:pt idx="1">
                  <c:v>31375</c:v>
                </c:pt>
                <c:pt idx="2">
                  <c:v>32127</c:v>
                </c:pt>
                <c:pt idx="3">
                  <c:v>33639</c:v>
                </c:pt>
                <c:pt idx="4">
                  <c:v>23212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0FD-0942-9BEC-54524E75B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08876088"/>
        <c:axId val="508877656"/>
      </c:lineChart>
      <c:catAx>
        <c:axId val="508876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877656"/>
        <c:crosses val="autoZero"/>
        <c:auto val="1"/>
        <c:lblAlgn val="ctr"/>
        <c:lblOffset val="100"/>
        <c:noMultiLvlLbl val="0"/>
      </c:catAx>
      <c:valAx>
        <c:axId val="508877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876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Денежный</a:t>
            </a:r>
            <a:r>
              <a:rPr lang="ru-RU" baseline="0"/>
              <a:t> цикл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DNS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'ОФП и ОПУ'!$AA$86:$AC$86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'ОФП и ОПУ'!$AA$87:$AC$87</c:f>
              <c:numCache>
                <c:formatCode>General</c:formatCode>
                <c:ptCount val="3"/>
                <c:pt idx="0">
                  <c:v>82.086806343946307</c:v>
                </c:pt>
                <c:pt idx="1">
                  <c:v>70.281928741696589</c:v>
                </c:pt>
                <c:pt idx="2">
                  <c:v>68.487367574334485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68-B746-9F11-E9D88A24945A}"/>
            </c:ext>
          </c:extLst>
        </c:ser>
        <c:ser>
          <c:idx val="1"/>
          <c:order val="1"/>
          <c:tx>
            <c:v>МВидео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'ОФП и ОПУ'!$AA$86:$AC$86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'ОФП и ОПУ'!$AA$88:$AC$88</c:f>
              <c:numCache>
                <c:formatCode>General</c:formatCode>
                <c:ptCount val="3"/>
                <c:pt idx="0">
                  <c:v>-27.533417385964157</c:v>
                </c:pt>
                <c:pt idx="1">
                  <c:v>-26.292397287295557</c:v>
                </c:pt>
                <c:pt idx="2">
                  <c:v>-28.620901290806273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68-B746-9F11-E9D88A249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00303864"/>
        <c:axId val="300315232"/>
      </c:lineChart>
      <c:catAx>
        <c:axId val="300303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0315232"/>
        <c:crosses val="autoZero"/>
        <c:auto val="1"/>
        <c:lblAlgn val="ctr"/>
        <c:lblOffset val="100"/>
        <c:noMultiLvlLbl val="0"/>
      </c:catAx>
      <c:valAx>
        <c:axId val="300315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030386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Коэффициенты</a:t>
            </a:r>
            <a:r>
              <a:rPr lang="ru-RU" baseline="0"/>
              <a:t> текущей и срочной ликвидности</a:t>
            </a:r>
          </a:p>
        </c:rich>
      </c:tx>
      <c:layout>
        <c:manualLayout>
          <c:xMode val="edge"/>
          <c:yMode val="edge"/>
          <c:x val="8.7247505577889503E-2"/>
          <c:y val="3.70369970550896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Ликвидность!$A$2</c:f>
              <c:strCache>
                <c:ptCount val="1"/>
                <c:pt idx="0">
                  <c:v>Коэффициент текущей ликвидности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Ликвидность!$A$3:$E$3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Ликвидность!$A$4:$E$4</c:f>
              <c:numCache>
                <c:formatCode>0.00</c:formatCode>
                <c:ptCount val="5"/>
                <c:pt idx="0">
                  <c:v>0.99486616446572529</c:v>
                </c:pt>
                <c:pt idx="1">
                  <c:v>0.90875197472353875</c:v>
                </c:pt>
                <c:pt idx="2">
                  <c:v>0.86709904214298361</c:v>
                </c:pt>
                <c:pt idx="3">
                  <c:v>0.88140045615209173</c:v>
                </c:pt>
                <c:pt idx="4">
                  <c:v>0.81082768711730768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68-4379-88AE-C6EAC85A3C9F}"/>
            </c:ext>
          </c:extLst>
        </c:ser>
        <c:ser>
          <c:idx val="1"/>
          <c:order val="1"/>
          <c:tx>
            <c:strRef>
              <c:f>Ликвидность!$G$2</c:f>
              <c:strCache>
                <c:ptCount val="1"/>
                <c:pt idx="0">
                  <c:v>Коэффициент срочной ликвидности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Ликвидность!$A$3:$E$3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Ликвидность!$G$4:$K$4</c:f>
              <c:numCache>
                <c:formatCode>0.00</c:formatCode>
                <c:ptCount val="5"/>
                <c:pt idx="0">
                  <c:v>0.46335661349842933</c:v>
                </c:pt>
                <c:pt idx="1">
                  <c:v>0.35877020294081907</c:v>
                </c:pt>
                <c:pt idx="2">
                  <c:v>0.28068980238805696</c:v>
                </c:pt>
                <c:pt idx="3">
                  <c:v>0.3160410921496456</c:v>
                </c:pt>
                <c:pt idx="4">
                  <c:v>0.30184500010873044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E68-4379-88AE-C6EAC85A3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00305432"/>
        <c:axId val="300314840"/>
      </c:barChart>
      <c:lineChart>
        <c:grouping val="standard"/>
        <c:varyColors val="0"/>
        <c:ser>
          <c:idx val="2"/>
          <c:order val="2"/>
          <c:tx>
            <c:strRef>
              <c:f>Ликвидность!$A$7</c:f>
              <c:strCache>
                <c:ptCount val="1"/>
                <c:pt idx="0">
                  <c:v>Средний по сфере (код ОКВЭД 47)</c:v>
                </c:pt>
              </c:strCache>
            </c:strRef>
          </c:tx>
          <c:spPr>
            <a:ln w="34925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Ликвидность!$A$9:$E$9</c:f>
              <c:numCache>
                <c:formatCode>0.00</c:formatCode>
                <c:ptCount val="5"/>
                <c:pt idx="0">
                  <c:v>1.89</c:v>
                </c:pt>
                <c:pt idx="1">
                  <c:v>1.97</c:v>
                </c:pt>
                <c:pt idx="2">
                  <c:v>2.02</c:v>
                </c:pt>
                <c:pt idx="3">
                  <c:v>2.09</c:v>
                </c:pt>
                <c:pt idx="4">
                  <c:v>2.21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147-4230-B74B-EE4234E280A7}"/>
            </c:ext>
          </c:extLst>
        </c:ser>
        <c:ser>
          <c:idx val="3"/>
          <c:order val="3"/>
          <c:tx>
            <c:strRef>
              <c:f>Ликвидность!$G$7</c:f>
              <c:strCache>
                <c:ptCount val="1"/>
                <c:pt idx="0">
                  <c:v>Средний по сфере( код ОКВЭД 47)</c:v>
                </c:pt>
              </c:strCache>
            </c:strRef>
          </c:tx>
          <c:spPr>
            <a:ln w="34925" cap="rnd">
              <a:solidFill>
                <a:srgbClr val="FFAA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Ликвидность!$G$9:$K$9</c:f>
              <c:numCache>
                <c:formatCode>0.00</c:formatCode>
                <c:ptCount val="5"/>
                <c:pt idx="0">
                  <c:v>0.73</c:v>
                </c:pt>
                <c:pt idx="1">
                  <c:v>0.78</c:v>
                </c:pt>
                <c:pt idx="2">
                  <c:v>0.84</c:v>
                </c:pt>
                <c:pt idx="3">
                  <c:v>0.88</c:v>
                </c:pt>
                <c:pt idx="4">
                  <c:v>0.93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147-4230-B74B-EE4234E28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0305432"/>
        <c:axId val="300314840"/>
      </c:lineChart>
      <c:catAx>
        <c:axId val="300305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0314840"/>
        <c:crosses val="autoZero"/>
        <c:auto val="1"/>
        <c:lblAlgn val="ctr"/>
        <c:lblOffset val="100"/>
        <c:noMultiLvlLbl val="0"/>
      </c:catAx>
      <c:valAx>
        <c:axId val="30031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0305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ROA</a:t>
            </a:r>
            <a:endParaRPr lang="ru-RU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400456819744118"/>
          <c:y val="0.30235504261223201"/>
          <c:w val="0.8713601419923791"/>
          <c:h val="0.56818550327254036"/>
        </c:manualLayout>
      </c:layout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'[1]Анализ финансовой устойчивости '!$D$9:$H$9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'[1]Анализ финансовой устойчивости '!$D$10:$H$10</c:f>
              <c:numCache>
                <c:formatCode>General</c:formatCode>
                <c:ptCount val="5"/>
                <c:pt idx="0">
                  <c:v>0.19052869779880682</c:v>
                </c:pt>
                <c:pt idx="1">
                  <c:v>0.10992033184554048</c:v>
                </c:pt>
                <c:pt idx="2">
                  <c:v>9.1889093550859766E-2</c:v>
                </c:pt>
                <c:pt idx="3">
                  <c:v>8.479622085988546E-2</c:v>
                </c:pt>
                <c:pt idx="4">
                  <c:v>5.2353328581868044E-2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732-4EE2-BB92-95AE26121A8D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'[1]Анализ финансовой устойчивости '!$D$9:$H$9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'[1]Анализ финансовой устойчивости '!$D$10:$H$10</c:f>
              <c:numCache>
                <c:formatCode>General</c:formatCode>
                <c:ptCount val="5"/>
                <c:pt idx="0">
                  <c:v>0.19052869779880682</c:v>
                </c:pt>
                <c:pt idx="1">
                  <c:v>0.10992033184554048</c:v>
                </c:pt>
                <c:pt idx="2">
                  <c:v>9.1889093550859766E-2</c:v>
                </c:pt>
                <c:pt idx="3">
                  <c:v>8.479622085988546E-2</c:v>
                </c:pt>
                <c:pt idx="4">
                  <c:v>5.2353328581868044E-2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732-4EE2-BB92-95AE26121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873000"/>
        <c:axId val="509878488"/>
      </c:lineChart>
      <c:catAx>
        <c:axId val="50987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9878488"/>
        <c:crosses val="autoZero"/>
        <c:auto val="1"/>
        <c:lblAlgn val="ctr"/>
        <c:lblOffset val="100"/>
        <c:noMultiLvlLbl val="0"/>
      </c:catAx>
      <c:valAx>
        <c:axId val="50987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987300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ROE</a:t>
            </a:r>
            <a:endParaRPr lang="ru-RU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784574574489624E-2"/>
          <c:y val="0.33025787046496657"/>
          <c:w val="0.8713601419923791"/>
          <c:h val="0.56818550327254036"/>
        </c:manualLayout>
      </c:layout>
      <c:lineChart>
        <c:grouping val="standard"/>
        <c:varyColors val="0"/>
        <c:ser>
          <c:idx val="0"/>
          <c:order val="1"/>
          <c:marker>
            <c:symbol val="none"/>
          </c:marker>
          <c:val>
            <c:numRef>
              <c:f>'[2]Прибыльность и рентабельность'!$A$19:$E$19</c:f>
              <c:numCache>
                <c:formatCode>0.00</c:formatCode>
                <c:ptCount val="5"/>
                <c:pt idx="0">
                  <c:v>30.033687483804094</c:v>
                </c:pt>
                <c:pt idx="1">
                  <c:v>26.661354581673308</c:v>
                </c:pt>
                <c:pt idx="2">
                  <c:v>22.205621439910356</c:v>
                </c:pt>
                <c:pt idx="3">
                  <c:v>19.444692172775646</c:v>
                </c:pt>
                <c:pt idx="4">
                  <c:v>10.253317249698432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732-4EE2-BB92-95AE26121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243672"/>
        <c:axId val="544244456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'[2]Прибыльность и рентабельность'!$A$18:$E$18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F732-4EE2-BB92-95AE26121A8D}"/>
                  </c:ext>
                </c:extLst>
              </c15:ser>
            </c15:filteredLineSeries>
          </c:ext>
        </c:extLst>
      </c:lineChart>
      <c:catAx>
        <c:axId val="544243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4244456"/>
        <c:crosses val="autoZero"/>
        <c:auto val="1"/>
        <c:lblAlgn val="ctr"/>
        <c:lblOffset val="100"/>
        <c:noMultiLvlLbl val="0"/>
      </c:catAx>
      <c:valAx>
        <c:axId val="54424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42436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ROCE</a:t>
            </a:r>
            <a:endParaRPr lang="ru-RU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784574574489624E-2"/>
          <c:y val="0.33025787046496657"/>
          <c:w val="0.8713601419923791"/>
          <c:h val="0.56818550327254036"/>
        </c:manualLayout>
      </c:layout>
      <c:lineChart>
        <c:grouping val="standard"/>
        <c:varyColors val="0"/>
        <c:ser>
          <c:idx val="0"/>
          <c:order val="1"/>
          <c:marker>
            <c:symbol val="none"/>
          </c:marker>
          <c:val>
            <c:numRef>
              <c:f>'[2]Прибыльность и рентабельность'!$A$23:$E$23</c:f>
              <c:numCache>
                <c:formatCode>0.00</c:formatCode>
                <c:ptCount val="5"/>
                <c:pt idx="0">
                  <c:v>8.0733944954128454</c:v>
                </c:pt>
                <c:pt idx="1">
                  <c:v>18.75</c:v>
                </c:pt>
                <c:pt idx="2">
                  <c:v>17.441860465116278</c:v>
                </c:pt>
                <c:pt idx="3">
                  <c:v>15.441176470588236</c:v>
                </c:pt>
                <c:pt idx="4">
                  <c:v>15.178571428571427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732-4EE2-BB92-95AE26121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466264"/>
        <c:axId val="299473712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'[2]Прибыльность и рентабельность'!$A$22:$E$22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F732-4EE2-BB92-95AE26121A8D}"/>
                  </c:ext>
                </c:extLst>
              </c15:ser>
            </c15:filteredLineSeries>
          </c:ext>
        </c:extLst>
      </c:lineChart>
      <c:catAx>
        <c:axId val="299466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9473712"/>
        <c:crosses val="autoZero"/>
        <c:auto val="1"/>
        <c:lblAlgn val="ctr"/>
        <c:lblOffset val="100"/>
        <c:noMultiLvlLbl val="0"/>
      </c:catAx>
      <c:valAx>
        <c:axId val="29947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946626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ROA</a:t>
            </a:r>
            <a:endParaRPr lang="ru-RU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400456819744118"/>
          <c:y val="0.30235504261223201"/>
          <c:w val="0.8713601419923791"/>
          <c:h val="0.56818550327254036"/>
        </c:manualLayout>
      </c:layout>
      <c:lineChart>
        <c:grouping val="standard"/>
        <c:varyColors val="0"/>
        <c:ser>
          <c:idx val="0"/>
          <c:order val="1"/>
          <c:marker>
            <c:symbol val="none"/>
          </c:marker>
          <c:val>
            <c:numRef>
              <c:f>'[2]Прибыльность и рентабельность'!$O$5:$S$5</c:f>
              <c:numCache>
                <c:formatCode>General</c:formatCode>
                <c:ptCount val="5"/>
                <c:pt idx="0">
                  <c:v>0.69</c:v>
                </c:pt>
                <c:pt idx="1">
                  <c:v>12</c:v>
                </c:pt>
                <c:pt idx="2">
                  <c:v>9</c:v>
                </c:pt>
                <c:pt idx="3">
                  <c:v>6</c:v>
                </c:pt>
                <c:pt idx="4">
                  <c:v>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732-4EE2-BB92-95AE26121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889072"/>
        <c:axId val="509889856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'[2]Прибыльность и рентабельность'!$O$4:$S$4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F732-4EE2-BB92-95AE26121A8D}"/>
                  </c:ext>
                </c:extLst>
              </c15:ser>
            </c15:filteredLineSeries>
          </c:ext>
        </c:extLst>
      </c:lineChart>
      <c:catAx>
        <c:axId val="50988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9889856"/>
        <c:crosses val="autoZero"/>
        <c:auto val="1"/>
        <c:lblAlgn val="ctr"/>
        <c:lblOffset val="100"/>
        <c:noMultiLvlLbl val="0"/>
      </c:catAx>
      <c:valAx>
        <c:axId val="50988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98890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ROE</a:t>
            </a:r>
            <a:endParaRPr lang="ru-RU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784574574489624E-2"/>
          <c:y val="0.33025787046496657"/>
          <c:w val="0.8713601419923791"/>
          <c:h val="0.56818550327254036"/>
        </c:manualLayout>
      </c:layout>
      <c:lineChart>
        <c:grouping val="standard"/>
        <c:varyColors val="0"/>
        <c:ser>
          <c:idx val="0"/>
          <c:order val="1"/>
          <c:marker>
            <c:symbol val="none"/>
          </c:marker>
          <c:val>
            <c:numRef>
              <c:f>'[2]Прибыльность и рентабельность'!$O$9:$S$9</c:f>
              <c:numCache>
                <c:formatCode>General</c:formatCode>
                <c:ptCount val="5"/>
                <c:pt idx="0">
                  <c:v>29</c:v>
                </c:pt>
                <c:pt idx="1">
                  <c:v>18</c:v>
                </c:pt>
                <c:pt idx="2">
                  <c:v>15</c:v>
                </c:pt>
                <c:pt idx="3">
                  <c:v>10</c:v>
                </c:pt>
                <c:pt idx="4">
                  <c:v>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732-4EE2-BB92-95AE26121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442744"/>
        <c:axId val="485615040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'[2]Прибыльность и рентабельность'!$O$8:$S$8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F732-4EE2-BB92-95AE26121A8D}"/>
                  </c:ext>
                </c:extLst>
              </c15:ser>
            </c15:filteredLineSeries>
          </c:ext>
        </c:extLst>
      </c:lineChart>
      <c:catAx>
        <c:axId val="299442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5615040"/>
        <c:crosses val="autoZero"/>
        <c:auto val="1"/>
        <c:lblAlgn val="ctr"/>
        <c:lblOffset val="100"/>
        <c:noMultiLvlLbl val="0"/>
      </c:catAx>
      <c:valAx>
        <c:axId val="48561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944274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ROCE</a:t>
            </a:r>
            <a:endParaRPr lang="ru-RU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784574574489624E-2"/>
          <c:y val="0.33025787046496657"/>
          <c:w val="0.8713601419923791"/>
          <c:h val="0.56818550327254036"/>
        </c:manualLayout>
      </c:layout>
      <c:lineChart>
        <c:grouping val="standard"/>
        <c:varyColors val="0"/>
        <c:ser>
          <c:idx val="0"/>
          <c:order val="1"/>
          <c:marker>
            <c:symbol val="none"/>
          </c:marker>
          <c:val>
            <c:numRef>
              <c:f>'[2]Прибыльность и рентабельность'!$O$13:$S$13</c:f>
              <c:numCache>
                <c:formatCode>General</c:formatCode>
                <c:ptCount val="5"/>
                <c:pt idx="0">
                  <c:v>28</c:v>
                </c:pt>
                <c:pt idx="1">
                  <c:v>25</c:v>
                </c:pt>
                <c:pt idx="2">
                  <c:v>20</c:v>
                </c:pt>
                <c:pt idx="3">
                  <c:v>42</c:v>
                </c:pt>
                <c:pt idx="4">
                  <c:v>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732-4EE2-BB92-95AE26121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949616"/>
        <c:axId val="190952360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'[2]Прибыльность и рентабельность'!$O$12:$S$12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F732-4EE2-BB92-95AE26121A8D}"/>
                  </c:ext>
                </c:extLst>
              </c15:ser>
            </c15:filteredLineSeries>
          </c:ext>
        </c:extLst>
      </c:lineChart>
      <c:catAx>
        <c:axId val="19094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952360"/>
        <c:crosses val="autoZero"/>
        <c:auto val="1"/>
        <c:lblAlgn val="ctr"/>
        <c:lblOffset val="100"/>
        <c:noMultiLvlLbl val="0"/>
      </c:catAx>
      <c:valAx>
        <c:axId val="19095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94961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КА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'[1]Анализ финансовой устойчивости '!$D$9:$H$9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'[1]Анализ финансовой устойчивости '!$D$10:$H$10</c:f>
              <c:numCache>
                <c:formatCode>General</c:formatCode>
                <c:ptCount val="5"/>
                <c:pt idx="0">
                  <c:v>0.19052869779880682</c:v>
                </c:pt>
                <c:pt idx="1">
                  <c:v>0.10992033184554048</c:v>
                </c:pt>
                <c:pt idx="2">
                  <c:v>9.1889093550859766E-2</c:v>
                </c:pt>
                <c:pt idx="3">
                  <c:v>8.479622085988546E-2</c:v>
                </c:pt>
                <c:pt idx="4">
                  <c:v>5.2353328581868044E-2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732-4EE2-BB92-95AE26121A8D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'[1]Анализ финансовой устойчивости '!$D$9:$H$9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'[1]Анализ финансовой устойчивости '!$D$10:$H$10</c:f>
              <c:numCache>
                <c:formatCode>General</c:formatCode>
                <c:ptCount val="5"/>
                <c:pt idx="0">
                  <c:v>0.19052869779880682</c:v>
                </c:pt>
                <c:pt idx="1">
                  <c:v>0.10992033184554048</c:v>
                </c:pt>
                <c:pt idx="2">
                  <c:v>9.1889093550859766E-2</c:v>
                </c:pt>
                <c:pt idx="3">
                  <c:v>8.479622085988546E-2</c:v>
                </c:pt>
                <c:pt idx="4">
                  <c:v>5.2353328581868044E-2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732-4EE2-BB92-95AE26121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312488"/>
        <c:axId val="300310136"/>
      </c:lineChart>
      <c:catAx>
        <c:axId val="30031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0310136"/>
        <c:crosses val="autoZero"/>
        <c:auto val="1"/>
        <c:lblAlgn val="ctr"/>
        <c:lblOffset val="100"/>
        <c:noMultiLvlLbl val="0"/>
      </c:catAx>
      <c:valAx>
        <c:axId val="30031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031248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КДФН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'[1]Анализ финансовой устойчивости '!$D$27:$H$27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'[1]Анализ финансовой устойчивости '!$D$28:$H$28</c:f>
              <c:numCache>
                <c:formatCode>General</c:formatCode>
                <c:ptCount val="5"/>
                <c:pt idx="0">
                  <c:v>0.19059452787492284</c:v>
                </c:pt>
                <c:pt idx="1">
                  <c:v>0.44859056734656699</c:v>
                </c:pt>
                <c:pt idx="2">
                  <c:v>0.64860651892868992</c:v>
                </c:pt>
                <c:pt idx="3">
                  <c:v>0.60439773735581193</c:v>
                </c:pt>
                <c:pt idx="4">
                  <c:v>0.49560639823895059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ADD-4150-9BE7-BCDFFDCA4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305040"/>
        <c:axId val="300313664"/>
      </c:lineChart>
      <c:catAx>
        <c:axId val="30030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0313664"/>
        <c:crosses val="autoZero"/>
        <c:auto val="1"/>
        <c:lblAlgn val="ctr"/>
        <c:lblOffset val="100"/>
        <c:noMultiLvlLbl val="0"/>
      </c:catAx>
      <c:valAx>
        <c:axId val="30031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030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Обязательства,</a:t>
            </a:r>
            <a:r>
              <a:rPr lang="ru-RU" baseline="0"/>
              <a:t> млн руб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cat>
            <c:strRef>
              <c:f>'ОФП и ОПУ'!$B$2:$F$2</c:f>
              <c:strCache>
                <c:ptCount val="5"/>
                <c:pt idx="0">
                  <c:v>31 декабря 2017 года </c:v>
                </c:pt>
                <c:pt idx="1">
                  <c:v>31 декабря 2018 года</c:v>
                </c:pt>
                <c:pt idx="2">
                  <c:v>31 декабря 2019 года</c:v>
                </c:pt>
                <c:pt idx="3">
                  <c:v>31 декабря 2020 года</c:v>
                </c:pt>
                <c:pt idx="4">
                  <c:v>31 декабря 2021 года</c:v>
                </c:pt>
              </c:strCache>
            </c:strRef>
          </c:cat>
          <c:val>
            <c:numRef>
              <c:f>'ОФП и ОПУ'!$B$51:$F$51</c:f>
              <c:numCache>
                <c:formatCode>General</c:formatCode>
                <c:ptCount val="5"/>
                <c:pt idx="0">
                  <c:v>98371</c:v>
                </c:pt>
                <c:pt idx="1">
                  <c:v>254059</c:v>
                </c:pt>
                <c:pt idx="2">
                  <c:v>317501</c:v>
                </c:pt>
                <c:pt idx="3">
                  <c:v>363065</c:v>
                </c:pt>
                <c:pt idx="4">
                  <c:v>420160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761-AF40-AA69-C393C6670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08889024"/>
        <c:axId val="508890200"/>
      </c:lineChart>
      <c:catAx>
        <c:axId val="50888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890200"/>
        <c:crosses val="autoZero"/>
        <c:auto val="1"/>
        <c:lblAlgn val="ctr"/>
        <c:lblOffset val="100"/>
        <c:noMultiLvlLbl val="0"/>
      </c:catAx>
      <c:valAx>
        <c:axId val="508890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88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КФЗ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'[1]Анализ финансовой устойчивости '!$D$45:$H$45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'[1]Анализ финансовой устойчивости '!$D$46:$H$46</c:f>
              <c:numCache>
                <c:formatCode>General</c:formatCode>
                <c:ptCount val="5"/>
                <c:pt idx="0">
                  <c:v>0.80947130220119312</c:v>
                </c:pt>
                <c:pt idx="1">
                  <c:v>0.89007966815445949</c:v>
                </c:pt>
                <c:pt idx="2">
                  <c:v>0.90811090644914028</c:v>
                </c:pt>
                <c:pt idx="3">
                  <c:v>0.91520377914011453</c:v>
                </c:pt>
                <c:pt idx="4">
                  <c:v>0.94764667141813197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9C8-49DC-9B7A-4B0D5BF6B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307000"/>
        <c:axId val="300305824"/>
      </c:lineChart>
      <c:catAx>
        <c:axId val="300307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0305824"/>
        <c:crosses val="autoZero"/>
        <c:auto val="1"/>
        <c:lblAlgn val="ctr"/>
        <c:lblOffset val="100"/>
        <c:noMultiLvlLbl val="0"/>
      </c:catAx>
      <c:valAx>
        <c:axId val="3003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0307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КОСОС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'[1]Анализ финансовой устойчивости '!$D$63:$H$63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'[1]Анализ финансовой устойчивости '!$D$64:$H$64</c:f>
              <c:numCache>
                <c:formatCode>General</c:formatCode>
                <c:ptCount val="5"/>
                <c:pt idx="0">
                  <c:v>-5.2012016921787821E-3</c:v>
                </c:pt>
                <c:pt idx="1">
                  <c:v>-0.35894583130519436</c:v>
                </c:pt>
                <c:pt idx="2">
                  <c:v>-0.66303157916791067</c:v>
                </c:pt>
                <c:pt idx="3">
                  <c:v>-0.58429515851024372</c:v>
                </c:pt>
                <c:pt idx="4">
                  <c:v>-0.60978992578629365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04-485A-AE89-7FAC233A8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306608"/>
        <c:axId val="300316408"/>
      </c:lineChart>
      <c:catAx>
        <c:axId val="30030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0316408"/>
        <c:crosses val="autoZero"/>
        <c:auto val="1"/>
        <c:lblAlgn val="ctr"/>
        <c:lblOffset val="100"/>
        <c:noMultiLvlLbl val="0"/>
      </c:catAx>
      <c:valAx>
        <c:axId val="30031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030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'[1]Анализ финансовой устойчивости '!$D$81:$H$81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'[1]Анализ финансовой устойчивости '!$D$82:$H$82</c:f>
              <c:numCache>
                <c:formatCode>General</c:formatCode>
                <c:ptCount val="5"/>
                <c:pt idx="0">
                  <c:v>4.248553165759696</c:v>
                </c:pt>
                <c:pt idx="1">
                  <c:v>8.0974980079681274</c:v>
                </c:pt>
                <c:pt idx="2">
                  <c:v>9.8826843464998291</c:v>
                </c:pt>
                <c:pt idx="3">
                  <c:v>10.792978388180385</c:v>
                </c:pt>
                <c:pt idx="4">
                  <c:v>18.100982250560055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21D-47CF-B288-A268A1265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317584"/>
        <c:axId val="300318760"/>
      </c:lineChart>
      <c:catAx>
        <c:axId val="30031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0318760"/>
        <c:crosses val="autoZero"/>
        <c:auto val="1"/>
        <c:lblAlgn val="ctr"/>
        <c:lblOffset val="100"/>
        <c:noMultiLvlLbl val="0"/>
      </c:catAx>
      <c:valAx>
        <c:axId val="30031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031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'[1]Анализ финансовой устойчивости '!$D$99:$H$99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'[1]Анализ финансовой устойчивости '!$D$100:$H$100</c:f>
              <c:numCache>
                <c:formatCode>General</c:formatCode>
                <c:ptCount val="5"/>
                <c:pt idx="0">
                  <c:v>0.23537424647507904</c:v>
                </c:pt>
                <c:pt idx="1">
                  <c:v>0.12349493621560347</c:v>
                </c:pt>
                <c:pt idx="2">
                  <c:v>0.10118708287532953</c:v>
                </c:pt>
                <c:pt idx="3">
                  <c:v>9.2652830760332178E-2</c:v>
                </c:pt>
                <c:pt idx="4">
                  <c:v>5.5245620715917744E-2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19-490C-9F81-74EF7C7EA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317976"/>
        <c:axId val="299969512"/>
      </c:lineChart>
      <c:catAx>
        <c:axId val="300317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9969512"/>
        <c:crosses val="autoZero"/>
        <c:auto val="1"/>
        <c:lblAlgn val="ctr"/>
        <c:lblOffset val="100"/>
        <c:noMultiLvlLbl val="0"/>
      </c:catAx>
      <c:valAx>
        <c:axId val="29996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0317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КДПЗС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'[1]Анализ финансовой устойчивости '!$D$117:$H$117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'[1]Анализ финансовой устойчивости '!$D$118:$H$118</c:f>
              <c:numCache>
                <c:formatCode>General</c:formatCode>
                <c:ptCount val="5"/>
                <c:pt idx="0">
                  <c:v>1.7272648760687453E-4</c:v>
                </c:pt>
                <c:pt idx="1">
                  <c:v>0.60638070983201398</c:v>
                </c:pt>
                <c:pt idx="2">
                  <c:v>0.75181731801713414</c:v>
                </c:pt>
                <c:pt idx="3">
                  <c:v>0.7539263951778673</c:v>
                </c:pt>
                <c:pt idx="4">
                  <c:v>0.80891541469438155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13-4765-9B73-C4A25DF1C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959712"/>
        <c:axId val="299966376"/>
      </c:lineChart>
      <c:catAx>
        <c:axId val="29995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9966376"/>
        <c:crosses val="autoZero"/>
        <c:auto val="1"/>
        <c:lblAlgn val="ctr"/>
        <c:lblOffset val="100"/>
        <c:noMultiLvlLbl val="0"/>
      </c:catAx>
      <c:valAx>
        <c:axId val="29996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995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КМСК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'[1]Анализ финансовой устойчивости '!$D$135:$H$135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'[1]Анализ финансовой устойчивости '!$D$136:$H$136</c:f>
              <c:numCache>
                <c:formatCode>General</c:formatCode>
                <c:ptCount val="5"/>
                <c:pt idx="0">
                  <c:v>-2.1810486309061069E-2</c:v>
                </c:pt>
                <c:pt idx="1">
                  <c:v>-0.59831075697211156</c:v>
                </c:pt>
                <c:pt idx="2">
                  <c:v>-0.9108226725184424</c:v>
                </c:pt>
                <c:pt idx="3">
                  <c:v>-0.91667409851660275</c:v>
                </c:pt>
                <c:pt idx="4">
                  <c:v>-2.6233844563156987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56-4CC0-9523-45F898E61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961280"/>
        <c:axId val="299962456"/>
      </c:lineChart>
      <c:catAx>
        <c:axId val="29996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9962456"/>
        <c:crosses val="autoZero"/>
        <c:auto val="1"/>
        <c:lblAlgn val="ctr"/>
        <c:lblOffset val="100"/>
        <c:noMultiLvlLbl val="0"/>
      </c:catAx>
      <c:valAx>
        <c:axId val="29996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996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График</a:t>
            </a:r>
            <a:r>
              <a:rPr lang="ru-RU" b="1" baseline="0"/>
              <a:t> изменения активов и пассивов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Активы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'Горизонтальный анализ'!$H$72:$L$72</c:f>
              <c:strCache>
                <c:ptCount val="5"/>
                <c:pt idx="0">
                  <c:v>2017 год</c:v>
                </c:pt>
                <c:pt idx="1">
                  <c:v>2018 год</c:v>
                </c:pt>
                <c:pt idx="2">
                  <c:v>2019 год</c:v>
                </c:pt>
                <c:pt idx="3">
                  <c:v>2020 год</c:v>
                </c:pt>
                <c:pt idx="4">
                  <c:v>2021 год</c:v>
                </c:pt>
              </c:strCache>
            </c:strRef>
          </c:cat>
          <c:val>
            <c:numRef>
              <c:f>'Горизонтальный анализ'!$H$73:$L$73</c:f>
              <c:numCache>
                <c:formatCode>0.00%</c:formatCode>
                <c:ptCount val="5"/>
                <c:pt idx="0" formatCode="0%">
                  <c:v>1</c:v>
                </c:pt>
                <c:pt idx="1">
                  <c:v>2.348767743262703</c:v>
                </c:pt>
                <c:pt idx="2">
                  <c:v>2.8770047315367209</c:v>
                </c:pt>
                <c:pt idx="3">
                  <c:v>3.2643818144414731</c:v>
                </c:pt>
                <c:pt idx="4">
                  <c:v>3.6484015634643079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B1F-E045-84B4-C66D1AD3118A}"/>
            </c:ext>
          </c:extLst>
        </c:ser>
        <c:ser>
          <c:idx val="1"/>
          <c:order val="1"/>
          <c:tx>
            <c:v>Обязательства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'Горизонтальный анализ'!$H$72:$L$72</c:f>
              <c:strCache>
                <c:ptCount val="5"/>
                <c:pt idx="0">
                  <c:v>2017 год</c:v>
                </c:pt>
                <c:pt idx="1">
                  <c:v>2018 год</c:v>
                </c:pt>
                <c:pt idx="2">
                  <c:v>2019 год</c:v>
                </c:pt>
                <c:pt idx="3">
                  <c:v>2020 год</c:v>
                </c:pt>
                <c:pt idx="4">
                  <c:v>2021 год</c:v>
                </c:pt>
              </c:strCache>
            </c:strRef>
          </c:cat>
          <c:val>
            <c:numRef>
              <c:f>'Горизонтальный анализ'!$H$74:$L$74</c:f>
              <c:numCache>
                <c:formatCode>0.00%</c:formatCode>
                <c:ptCount val="5"/>
                <c:pt idx="0" formatCode="0%">
                  <c:v>1</c:v>
                </c:pt>
                <c:pt idx="1">
                  <c:v>2.5826615567596143</c:v>
                </c:pt>
                <c:pt idx="2">
                  <c:v>3.2275873987252339</c:v>
                </c:pt>
                <c:pt idx="3">
                  <c:v>3.6907726870724096</c:v>
                </c:pt>
                <c:pt idx="4">
                  <c:v>4.2711774811682304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B1F-E045-84B4-C66D1AD3118A}"/>
            </c:ext>
          </c:extLst>
        </c:ser>
        <c:ser>
          <c:idx val="2"/>
          <c:order val="2"/>
          <c:tx>
            <c:v>Капитал</c:v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'Горизонтальный анализ'!$H$72:$L$72</c:f>
              <c:strCache>
                <c:ptCount val="5"/>
                <c:pt idx="0">
                  <c:v>2017 год</c:v>
                </c:pt>
                <c:pt idx="1">
                  <c:v>2018 год</c:v>
                </c:pt>
                <c:pt idx="2">
                  <c:v>2019 год</c:v>
                </c:pt>
                <c:pt idx="3">
                  <c:v>2020 год</c:v>
                </c:pt>
                <c:pt idx="4">
                  <c:v>2021 год</c:v>
                </c:pt>
              </c:strCache>
            </c:strRef>
          </c:cat>
          <c:val>
            <c:numRef>
              <c:f>'Горизонтальный анализ'!$H$75:$L$75</c:f>
              <c:numCache>
                <c:formatCode>0.00%</c:formatCode>
                <c:ptCount val="5"/>
                <c:pt idx="0" formatCode="0%">
                  <c:v>1</c:v>
                </c:pt>
                <c:pt idx="1">
                  <c:v>1.3550574414787941</c:v>
                </c:pt>
                <c:pt idx="2">
                  <c:v>1.3875356309924851</c:v>
                </c:pt>
                <c:pt idx="3">
                  <c:v>1.452837522674268</c:v>
                </c:pt>
                <c:pt idx="4">
                  <c:v>1.002504966744407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B1F-E045-84B4-C66D1AD311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99963240"/>
        <c:axId val="299964024"/>
      </c:lineChart>
      <c:catAx>
        <c:axId val="299963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9964024"/>
        <c:crosses val="autoZero"/>
        <c:auto val="1"/>
        <c:lblAlgn val="ctr"/>
        <c:lblOffset val="100"/>
        <c:noMultiLvlLbl val="0"/>
      </c:catAx>
      <c:valAx>
        <c:axId val="29996402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996324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График</a:t>
            </a:r>
            <a:r>
              <a:rPr lang="ru-RU" b="1" baseline="0"/>
              <a:t> изменения выручки, себестоимости и выловой прибыли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Выручка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'Горизонтальный анализ'!$H$100:$L$100</c:f>
              <c:strCache>
                <c:ptCount val="5"/>
                <c:pt idx="0">
                  <c:v>2017 год</c:v>
                </c:pt>
                <c:pt idx="1">
                  <c:v>2018 год</c:v>
                </c:pt>
                <c:pt idx="2">
                  <c:v>2019 год</c:v>
                </c:pt>
                <c:pt idx="3">
                  <c:v>2020 год</c:v>
                </c:pt>
                <c:pt idx="4">
                  <c:v>2021 год</c:v>
                </c:pt>
              </c:strCache>
            </c:strRef>
          </c:cat>
          <c:val>
            <c:numRef>
              <c:f>'Горизонтальный анализ'!$H$101:$L$101</c:f>
              <c:numCache>
                <c:formatCode>0.00%</c:formatCode>
                <c:ptCount val="5"/>
                <c:pt idx="0" formatCode="0%">
                  <c:v>1</c:v>
                </c:pt>
                <c:pt idx="1">
                  <c:v>1.6201153397881904</c:v>
                </c:pt>
                <c:pt idx="2">
                  <c:v>1.8426918671826515</c:v>
                </c:pt>
                <c:pt idx="3">
                  <c:v>2.1082912455788936</c:v>
                </c:pt>
                <c:pt idx="4">
                  <c:v>2.4034874392649739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E23-8F4D-9AB0-4DC104D44368}"/>
            </c:ext>
          </c:extLst>
        </c:ser>
        <c:ser>
          <c:idx val="1"/>
          <c:order val="1"/>
          <c:tx>
            <c:v>Себестоимость реализации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'Горизонтальный анализ'!$H$100:$L$100</c:f>
              <c:strCache>
                <c:ptCount val="5"/>
                <c:pt idx="0">
                  <c:v>2017 год</c:v>
                </c:pt>
                <c:pt idx="1">
                  <c:v>2018 год</c:v>
                </c:pt>
                <c:pt idx="2">
                  <c:v>2019 год</c:v>
                </c:pt>
                <c:pt idx="3">
                  <c:v>2020 год</c:v>
                </c:pt>
                <c:pt idx="4">
                  <c:v>2021 год</c:v>
                </c:pt>
              </c:strCache>
            </c:strRef>
          </c:cat>
          <c:val>
            <c:numRef>
              <c:f>'Горизонтальный анализ'!$H$102:$L$102</c:f>
              <c:numCache>
                <c:formatCode>0.00%</c:formatCode>
                <c:ptCount val="5"/>
                <c:pt idx="0" formatCode="0%">
                  <c:v>1</c:v>
                </c:pt>
                <c:pt idx="1">
                  <c:v>1.5986220083075098</c:v>
                </c:pt>
                <c:pt idx="2">
                  <c:v>1.8074965385376145</c:v>
                </c:pt>
                <c:pt idx="3">
                  <c:v>2.1132854222984112</c:v>
                </c:pt>
                <c:pt idx="4">
                  <c:v>2.5147952792246326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E23-8F4D-9AB0-4DC104D44368}"/>
            </c:ext>
          </c:extLst>
        </c:ser>
        <c:ser>
          <c:idx val="2"/>
          <c:order val="2"/>
          <c:tx>
            <c:v>Выловая прибыль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'Горизонтальный анализ'!$H$100:$L$100</c:f>
              <c:strCache>
                <c:ptCount val="5"/>
                <c:pt idx="0">
                  <c:v>2017 год</c:v>
                </c:pt>
                <c:pt idx="1">
                  <c:v>2018 год</c:v>
                </c:pt>
                <c:pt idx="2">
                  <c:v>2019 год</c:v>
                </c:pt>
                <c:pt idx="3">
                  <c:v>2020 год</c:v>
                </c:pt>
                <c:pt idx="4">
                  <c:v>2021 год</c:v>
                </c:pt>
              </c:strCache>
            </c:strRef>
          </c:cat>
          <c:val>
            <c:numRef>
              <c:f>'Горизонтальный анализ'!$H$103:$L$103</c:f>
              <c:numCache>
                <c:formatCode>0.00%</c:formatCode>
                <c:ptCount val="5"/>
                <c:pt idx="0" formatCode="0%">
                  <c:v>1</c:v>
                </c:pt>
                <c:pt idx="1">
                  <c:v>1.6901798955445226</c:v>
                </c:pt>
                <c:pt idx="2">
                  <c:v>1.9574225718400069</c:v>
                </c:pt>
                <c:pt idx="3">
                  <c:v>2.0920110903346445</c:v>
                </c:pt>
                <c:pt idx="4">
                  <c:v>2.0406430674662026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E23-8F4D-9AB0-4DC104D44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99964808"/>
        <c:axId val="299970688"/>
      </c:lineChart>
      <c:catAx>
        <c:axId val="299964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9970688"/>
        <c:crosses val="autoZero"/>
        <c:auto val="1"/>
        <c:lblAlgn val="ctr"/>
        <c:lblOffset val="100"/>
        <c:noMultiLvlLbl val="0"/>
      </c:catAx>
      <c:valAx>
        <c:axId val="29997068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996480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Изменение валовой прибыли, операционной прибыли, прибыли до налога и чистой прибыли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Валовая прибыль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'Горизонтальный анализ'!$H$126:$L$126</c:f>
              <c:strCache>
                <c:ptCount val="5"/>
                <c:pt idx="0">
                  <c:v>2017 год</c:v>
                </c:pt>
                <c:pt idx="1">
                  <c:v>2018 год</c:v>
                </c:pt>
                <c:pt idx="2">
                  <c:v>2019 год</c:v>
                </c:pt>
                <c:pt idx="3">
                  <c:v>2020 год</c:v>
                </c:pt>
                <c:pt idx="4">
                  <c:v>2021 год</c:v>
                </c:pt>
              </c:strCache>
            </c:strRef>
          </c:cat>
          <c:val>
            <c:numRef>
              <c:f>'Горизонтальный анализ'!$H$127:$L$127</c:f>
              <c:numCache>
                <c:formatCode>0.00%</c:formatCode>
                <c:ptCount val="5"/>
                <c:pt idx="0" formatCode="0%">
                  <c:v>1</c:v>
                </c:pt>
                <c:pt idx="1">
                  <c:v>1.6901798955445226</c:v>
                </c:pt>
                <c:pt idx="2">
                  <c:v>1.9574225718400069</c:v>
                </c:pt>
                <c:pt idx="3">
                  <c:v>2.0920110903346445</c:v>
                </c:pt>
                <c:pt idx="4">
                  <c:v>2.0406430674662026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A0D-C241-98E3-E49615E1D76D}"/>
            </c:ext>
          </c:extLst>
        </c:ser>
        <c:ser>
          <c:idx val="1"/>
          <c:order val="1"/>
          <c:tx>
            <c:v>Операционная прибыль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'Горизонтальный анализ'!$H$126:$L$126</c:f>
              <c:strCache>
                <c:ptCount val="5"/>
                <c:pt idx="0">
                  <c:v>2017 год</c:v>
                </c:pt>
                <c:pt idx="1">
                  <c:v>2018 год</c:v>
                </c:pt>
                <c:pt idx="2">
                  <c:v>2019 год</c:v>
                </c:pt>
                <c:pt idx="3">
                  <c:v>2020 год</c:v>
                </c:pt>
                <c:pt idx="4">
                  <c:v>2021 год</c:v>
                </c:pt>
              </c:strCache>
            </c:strRef>
          </c:cat>
          <c:val>
            <c:numRef>
              <c:f>'Горизонтальный анализ'!$H$128:$L$128</c:f>
              <c:numCache>
                <c:formatCode>0.00%</c:formatCode>
                <c:ptCount val="5"/>
                <c:pt idx="0" formatCode="0%">
                  <c:v>1</c:v>
                </c:pt>
                <c:pt idx="1">
                  <c:v>1.7949877750611247</c:v>
                </c:pt>
                <c:pt idx="2">
                  <c:v>2.947921760391198</c:v>
                </c:pt>
                <c:pt idx="3">
                  <c:v>2.8028117359413205</c:v>
                </c:pt>
                <c:pt idx="4">
                  <c:v>1.6799511002444987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A0D-C241-98E3-E49615E1D76D}"/>
            </c:ext>
          </c:extLst>
        </c:ser>
        <c:ser>
          <c:idx val="2"/>
          <c:order val="2"/>
          <c:tx>
            <c:v>Прибыль до налога на прибыль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'Горизонтальный анализ'!$H$126:$L$126</c:f>
              <c:strCache>
                <c:ptCount val="5"/>
                <c:pt idx="0">
                  <c:v>2017 год</c:v>
                </c:pt>
                <c:pt idx="1">
                  <c:v>2018 год</c:v>
                </c:pt>
                <c:pt idx="2">
                  <c:v>2019 год</c:v>
                </c:pt>
                <c:pt idx="3">
                  <c:v>2020 год</c:v>
                </c:pt>
                <c:pt idx="4">
                  <c:v>2021 год</c:v>
                </c:pt>
              </c:strCache>
            </c:strRef>
          </c:cat>
          <c:val>
            <c:numRef>
              <c:f>'Горизонтальный анализ'!$H$129:$L$129</c:f>
              <c:numCache>
                <c:formatCode>0.00%</c:formatCode>
                <c:ptCount val="5"/>
                <c:pt idx="0" formatCode="0%">
                  <c:v>1</c:v>
                </c:pt>
                <c:pt idx="1">
                  <c:v>1.3095372779726213</c:v>
                </c:pt>
                <c:pt idx="2">
                  <c:v>1.0739902703925783</c:v>
                </c:pt>
                <c:pt idx="3">
                  <c:v>0.92963004864803711</c:v>
                </c:pt>
                <c:pt idx="4">
                  <c:v>0.3529811064600068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A0D-C241-98E3-E49615E1D76D}"/>
            </c:ext>
          </c:extLst>
        </c:ser>
        <c:ser>
          <c:idx val="3"/>
          <c:order val="3"/>
          <c:tx>
            <c:v>Чистая прибыль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'Горизонтальный анализ'!$H$126:$L$126</c:f>
              <c:strCache>
                <c:ptCount val="5"/>
                <c:pt idx="0">
                  <c:v>2017 год</c:v>
                </c:pt>
                <c:pt idx="1">
                  <c:v>2018 год</c:v>
                </c:pt>
                <c:pt idx="2">
                  <c:v>2019 год</c:v>
                </c:pt>
                <c:pt idx="3">
                  <c:v>2020 год</c:v>
                </c:pt>
                <c:pt idx="4">
                  <c:v>2021 год</c:v>
                </c:pt>
              </c:strCache>
            </c:strRef>
          </c:cat>
          <c:val>
            <c:numRef>
              <c:f>'Горизонтальный анализ'!$H$130:$L$130</c:f>
              <c:numCache>
                <c:formatCode>0.00%</c:formatCode>
                <c:ptCount val="5"/>
                <c:pt idx="0" formatCode="0%">
                  <c:v>1</c:v>
                </c:pt>
                <c:pt idx="1">
                  <c:v>1.2029048029910843</c:v>
                </c:pt>
                <c:pt idx="2">
                  <c:v>1.0258843830888698</c:v>
                </c:pt>
                <c:pt idx="3">
                  <c:v>0.94060972102387119</c:v>
                </c:pt>
                <c:pt idx="4">
                  <c:v>0.34224906528616622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A0D-C241-98E3-E49615E1D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99970296"/>
        <c:axId val="299971080"/>
      </c:lineChart>
      <c:catAx>
        <c:axId val="299970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9971080"/>
        <c:crosses val="autoZero"/>
        <c:auto val="1"/>
        <c:lblAlgn val="ctr"/>
        <c:lblOffset val="100"/>
        <c:noMultiLvlLbl val="0"/>
      </c:catAx>
      <c:valAx>
        <c:axId val="29997108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99702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Изменение коммерческих, общественных и административных расходов, прочих операционных доходов и расходов и операционной прибыли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Коммерческие, общественные и административные расходы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'Горизонтальный анализ'!$H$153:$L$153</c:f>
              <c:strCache>
                <c:ptCount val="5"/>
                <c:pt idx="0">
                  <c:v>2017 год</c:v>
                </c:pt>
                <c:pt idx="1">
                  <c:v>2018 год</c:v>
                </c:pt>
                <c:pt idx="2">
                  <c:v>2019 год</c:v>
                </c:pt>
                <c:pt idx="3">
                  <c:v>2020 год</c:v>
                </c:pt>
                <c:pt idx="4">
                  <c:v>2021 год</c:v>
                </c:pt>
              </c:strCache>
            </c:strRef>
          </c:cat>
          <c:val>
            <c:numRef>
              <c:f>'Горизонтальный анализ'!$H$154:$L$154</c:f>
              <c:numCache>
                <c:formatCode>0.00%</c:formatCode>
                <c:ptCount val="5"/>
                <c:pt idx="0" formatCode="0%">
                  <c:v>1</c:v>
                </c:pt>
                <c:pt idx="1">
                  <c:v>1.6988271089954361</c:v>
                </c:pt>
                <c:pt idx="2">
                  <c:v>1.7800952053786132</c:v>
                </c:pt>
                <c:pt idx="3">
                  <c:v>1.9339942091573834</c:v>
                </c:pt>
                <c:pt idx="4">
                  <c:v>2.1394709721745104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93A-2240-85A2-A52CF3769B37}"/>
            </c:ext>
          </c:extLst>
        </c:ser>
        <c:ser>
          <c:idx val="1"/>
          <c:order val="1"/>
          <c:tx>
            <c:v>Прочие операционные доходы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'Горизонтальный анализ'!$H$153:$L$153</c:f>
              <c:strCache>
                <c:ptCount val="5"/>
                <c:pt idx="0">
                  <c:v>2017 год</c:v>
                </c:pt>
                <c:pt idx="1">
                  <c:v>2018 год</c:v>
                </c:pt>
                <c:pt idx="2">
                  <c:v>2019 год</c:v>
                </c:pt>
                <c:pt idx="3">
                  <c:v>2020 год</c:v>
                </c:pt>
                <c:pt idx="4">
                  <c:v>2021 год</c:v>
                </c:pt>
              </c:strCache>
            </c:strRef>
          </c:cat>
          <c:val>
            <c:numRef>
              <c:f>'Горизонтальный анализ'!$H$155:$L$155</c:f>
              <c:numCache>
                <c:formatCode>0.00%</c:formatCode>
                <c:ptCount val="5"/>
                <c:pt idx="0" formatCode="0%">
                  <c:v>1</c:v>
                </c:pt>
                <c:pt idx="1">
                  <c:v>2.3175752954632101</c:v>
                </c:pt>
                <c:pt idx="2">
                  <c:v>2.4430041936713685</c:v>
                </c:pt>
                <c:pt idx="3">
                  <c:v>1.9012581014105985</c:v>
                </c:pt>
                <c:pt idx="4">
                  <c:v>2.441097979412886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93A-2240-85A2-A52CF3769B37}"/>
            </c:ext>
          </c:extLst>
        </c:ser>
        <c:ser>
          <c:idx val="2"/>
          <c:order val="2"/>
          <c:tx>
            <c:v>Прочие операционные расходы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'Горизонтальный анализ'!$H$153:$L$153</c:f>
              <c:strCache>
                <c:ptCount val="5"/>
                <c:pt idx="0">
                  <c:v>2017 год</c:v>
                </c:pt>
                <c:pt idx="1">
                  <c:v>2018 год</c:v>
                </c:pt>
                <c:pt idx="2">
                  <c:v>2019 год</c:v>
                </c:pt>
                <c:pt idx="3">
                  <c:v>2020 год</c:v>
                </c:pt>
                <c:pt idx="4">
                  <c:v>2021 год</c:v>
                </c:pt>
              </c:strCache>
            </c:strRef>
          </c:cat>
          <c:val>
            <c:numRef>
              <c:f>'Горизонтальный анализ'!$H$156:$L$156</c:f>
              <c:numCache>
                <c:formatCode>0.00%</c:formatCode>
                <c:ptCount val="5"/>
                <c:pt idx="0" formatCode="0%">
                  <c:v>1</c:v>
                </c:pt>
                <c:pt idx="1">
                  <c:v>3.7083333333333335</c:v>
                </c:pt>
                <c:pt idx="2">
                  <c:v>3.800925925925926</c:v>
                </c:pt>
                <c:pt idx="3">
                  <c:v>2.6712962962962963</c:v>
                </c:pt>
                <c:pt idx="4">
                  <c:v>1.9166666666666667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93A-2240-85A2-A52CF3769B37}"/>
            </c:ext>
          </c:extLst>
        </c:ser>
        <c:ser>
          <c:idx val="3"/>
          <c:order val="3"/>
          <c:tx>
            <c:v>Операционная прибыль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'Горизонтальный анализ'!$H$153:$L$153</c:f>
              <c:strCache>
                <c:ptCount val="5"/>
                <c:pt idx="0">
                  <c:v>2017 год</c:v>
                </c:pt>
                <c:pt idx="1">
                  <c:v>2018 год</c:v>
                </c:pt>
                <c:pt idx="2">
                  <c:v>2019 год</c:v>
                </c:pt>
                <c:pt idx="3">
                  <c:v>2020 год</c:v>
                </c:pt>
                <c:pt idx="4">
                  <c:v>2021 год</c:v>
                </c:pt>
              </c:strCache>
            </c:strRef>
          </c:cat>
          <c:val>
            <c:numRef>
              <c:f>'Горизонтальный анализ'!$H$157:$L$157</c:f>
              <c:numCache>
                <c:formatCode>0.00%</c:formatCode>
                <c:ptCount val="5"/>
                <c:pt idx="0" formatCode="0%">
                  <c:v>1</c:v>
                </c:pt>
                <c:pt idx="1">
                  <c:v>1.7949877750611247</c:v>
                </c:pt>
                <c:pt idx="2">
                  <c:v>2.947921760391198</c:v>
                </c:pt>
                <c:pt idx="3">
                  <c:v>2.8028117359413205</c:v>
                </c:pt>
                <c:pt idx="4">
                  <c:v>1.6799511002444987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93A-2240-85A2-A52CF3769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99971864"/>
        <c:axId val="299972256"/>
      </c:lineChart>
      <c:catAx>
        <c:axId val="29997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9972256"/>
        <c:crosses val="autoZero"/>
        <c:auto val="1"/>
        <c:lblAlgn val="ctr"/>
        <c:lblOffset val="100"/>
        <c:noMultiLvlLbl val="0"/>
      </c:catAx>
      <c:valAx>
        <c:axId val="29997225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997186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Активы</a:t>
            </a:r>
            <a:r>
              <a:rPr lang="ru-RU" baseline="0"/>
              <a:t> и обязательства, млн руб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Активы</c:v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'ОФП и ОПУ'!$B$2:$F$2</c:f>
              <c:strCache>
                <c:ptCount val="5"/>
                <c:pt idx="0">
                  <c:v>31 декабря 2017 года </c:v>
                </c:pt>
                <c:pt idx="1">
                  <c:v>31 декабря 2018 года</c:v>
                </c:pt>
                <c:pt idx="2">
                  <c:v>31 декабря 2019 года</c:v>
                </c:pt>
                <c:pt idx="3">
                  <c:v>31 декабря 2020 года</c:v>
                </c:pt>
                <c:pt idx="4">
                  <c:v>31 декабря 2021 года</c:v>
                </c:pt>
              </c:strCache>
            </c:strRef>
          </c:cat>
          <c:val>
            <c:numRef>
              <c:f>'ОФП и ОПУ'!$B$25:$F$25</c:f>
              <c:numCache>
                <c:formatCode>General</c:formatCode>
                <c:ptCount val="5"/>
                <c:pt idx="0">
                  <c:v>121525</c:v>
                </c:pt>
                <c:pt idx="1">
                  <c:v>285434</c:v>
                </c:pt>
                <c:pt idx="2">
                  <c:v>349628</c:v>
                </c:pt>
                <c:pt idx="3">
                  <c:v>396704</c:v>
                </c:pt>
                <c:pt idx="4">
                  <c:v>443372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6B6-D647-8418-29453FDCBB8E}"/>
            </c:ext>
          </c:extLst>
        </c:ser>
        <c:ser>
          <c:idx val="1"/>
          <c:order val="1"/>
          <c:tx>
            <c:v>Обязательства</c:v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'ОФП и ОПУ'!$B$2:$F$2</c:f>
              <c:strCache>
                <c:ptCount val="5"/>
                <c:pt idx="0">
                  <c:v>31 декабря 2017 года </c:v>
                </c:pt>
                <c:pt idx="1">
                  <c:v>31 декабря 2018 года</c:v>
                </c:pt>
                <c:pt idx="2">
                  <c:v>31 декабря 2019 года</c:v>
                </c:pt>
                <c:pt idx="3">
                  <c:v>31 декабря 2020 года</c:v>
                </c:pt>
                <c:pt idx="4">
                  <c:v>31 декабря 2021 года</c:v>
                </c:pt>
              </c:strCache>
            </c:strRef>
          </c:cat>
          <c:val>
            <c:numRef>
              <c:f>'ОФП и ОПУ'!$B$51:$F$51</c:f>
              <c:numCache>
                <c:formatCode>General</c:formatCode>
                <c:ptCount val="5"/>
                <c:pt idx="0">
                  <c:v>98371</c:v>
                </c:pt>
                <c:pt idx="1">
                  <c:v>254059</c:v>
                </c:pt>
                <c:pt idx="2">
                  <c:v>317501</c:v>
                </c:pt>
                <c:pt idx="3">
                  <c:v>363065</c:v>
                </c:pt>
                <c:pt idx="4">
                  <c:v>420160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46B6-D647-8418-29453FDCBB8E}"/>
            </c:ext>
          </c:extLst>
        </c:ser>
        <c:ser>
          <c:idx val="2"/>
          <c:order val="2"/>
          <c:tx>
            <c:v>Капитал</c:v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'ОФП и ОПУ'!$B$33:$F$33</c:f>
              <c:numCache>
                <c:formatCode>General</c:formatCode>
                <c:ptCount val="5"/>
                <c:pt idx="0">
                  <c:v>23154</c:v>
                </c:pt>
                <c:pt idx="1">
                  <c:v>31375</c:v>
                </c:pt>
                <c:pt idx="2">
                  <c:v>32127</c:v>
                </c:pt>
                <c:pt idx="3">
                  <c:v>33639</c:v>
                </c:pt>
                <c:pt idx="4">
                  <c:v>23212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46B6-D647-8418-29453FDCB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8870600"/>
        <c:axId val="508866680"/>
      </c:barChart>
      <c:catAx>
        <c:axId val="508870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2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866680"/>
        <c:crosses val="autoZero"/>
        <c:auto val="1"/>
        <c:lblAlgn val="ctr"/>
        <c:lblOffset val="100"/>
        <c:noMultiLvlLbl val="0"/>
      </c:catAx>
      <c:valAx>
        <c:axId val="50886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870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1057902476776606"/>
          <c:y val="3.95759607200799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55195231846019244"/>
          <c:y val="0.2200462962962963"/>
          <c:w val="0.36554002624671916"/>
          <c:h val="0.60923337707786529"/>
        </c:manualLayout>
      </c:layout>
      <c:pieChart>
        <c:varyColors val="1"/>
        <c:ser>
          <c:idx val="0"/>
          <c:order val="0"/>
          <c:tx>
            <c:v>Состав внеоборотных активов, 2017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AB3-40A8-B941-B82C0E21273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AB3-40A8-B941-B82C0E21273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AB3-40A8-B941-B82C0E21273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4AB3-40A8-B941-B82C0E21273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4AB3-40A8-B941-B82C0E21273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8ECC-4B54-BE7D-0CCD4FF3981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8ECC-4B54-BE7D-0CCD4FF3981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8ECC-4B54-BE7D-0CCD4FF3981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8ECC-4B54-BE7D-0CCD4FF398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'Вертикальный анализ'!$A$5:$A$13</c:f>
              <c:strCache>
                <c:ptCount val="9"/>
                <c:pt idx="0">
                  <c:v>Основные средства</c:v>
                </c:pt>
                <c:pt idx="1">
                  <c:v>Инвестиционная недвижимость</c:v>
                </c:pt>
                <c:pt idx="2">
                  <c:v>Нематериальные активы</c:v>
                </c:pt>
                <c:pt idx="3">
                  <c:v>Гудвил</c:v>
                </c:pt>
                <c:pt idx="4">
                  <c:v>Активы в форме права пользования</c:v>
                </c:pt>
                <c:pt idx="5">
                  <c:v>Инвестиции в ассоциированную организацию и совместное предприятие</c:v>
                </c:pt>
                <c:pt idx="6">
                  <c:v>Финансовые активы</c:v>
                </c:pt>
                <c:pt idx="7">
                  <c:v>Отложенные налоговые активы</c:v>
                </c:pt>
                <c:pt idx="8">
                  <c:v>Прочие внеоборотные активы</c:v>
                </c:pt>
              </c:strCache>
            </c:strRef>
          </c:cat>
          <c:val>
            <c:numRef>
              <c:f>'Вертикальный анализ'!$B$5:$B$13</c:f>
              <c:numCache>
                <c:formatCode>General</c:formatCode>
                <c:ptCount val="9"/>
                <c:pt idx="0">
                  <c:v>7936</c:v>
                </c:pt>
                <c:pt idx="1">
                  <c:v>0</c:v>
                </c:pt>
                <c:pt idx="2">
                  <c:v>7999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2471</c:v>
                </c:pt>
                <c:pt idx="7">
                  <c:v>4264</c:v>
                </c:pt>
                <c:pt idx="8">
                  <c:v>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4AB3-40A8-B941-B82C0E21273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7707309844229275E-2"/>
          <c:y val="0.42313872139553954"/>
          <c:w val="0.73635913863908409"/>
          <c:h val="0.519408547996694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55195231846019244"/>
          <c:y val="0.2200462962962963"/>
          <c:w val="0.36554002624671916"/>
          <c:h val="0.60923337707786529"/>
        </c:manualLayout>
      </c:layout>
      <c:pieChart>
        <c:varyColors val="1"/>
        <c:ser>
          <c:idx val="0"/>
          <c:order val="0"/>
          <c:tx>
            <c:v>Состав оборотных активов, 2021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F86-4F01-BBC6-6B92773852F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F86-4F01-BBC6-6B92773852F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AF86-4F01-BBC6-6B92773852F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AF86-4F01-BBC6-6B92773852F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AF86-4F01-BBC6-6B92773852F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AF86-4F01-BBC6-6B92773852F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AF86-4F01-BBC6-6B92773852F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AF86-4F01-BBC6-6B92773852F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AF86-4F01-BBC6-6B92773852F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'Вертикальный анализ'!$A$5:$A$13</c:f>
              <c:strCache>
                <c:ptCount val="9"/>
                <c:pt idx="0">
                  <c:v>Основные средства</c:v>
                </c:pt>
                <c:pt idx="1">
                  <c:v>Инвестиционная недвижимость</c:v>
                </c:pt>
                <c:pt idx="2">
                  <c:v>Нематериальные активы</c:v>
                </c:pt>
                <c:pt idx="3">
                  <c:v>Гудвил</c:v>
                </c:pt>
                <c:pt idx="4">
                  <c:v>Активы в форме права пользования</c:v>
                </c:pt>
                <c:pt idx="5">
                  <c:v>Инвестиции в ассоциированную организацию и совместное предприятие</c:v>
                </c:pt>
                <c:pt idx="6">
                  <c:v>Финансовые активы</c:v>
                </c:pt>
                <c:pt idx="7">
                  <c:v>Отложенные налоговые активы</c:v>
                </c:pt>
                <c:pt idx="8">
                  <c:v>Прочие внеоборотные активы</c:v>
                </c:pt>
              </c:strCache>
            </c:strRef>
          </c:cat>
          <c:val>
            <c:numRef>
              <c:f>'Вертикальный анализ'!$K$5:$K$13</c:f>
              <c:numCache>
                <c:formatCode>0%</c:formatCode>
                <c:ptCount val="9"/>
                <c:pt idx="0">
                  <c:v>9.6918884240194333E-2</c:v>
                </c:pt>
                <c:pt idx="1">
                  <c:v>1.0637772867099122E-3</c:v>
                </c:pt>
                <c:pt idx="2">
                  <c:v>0.15260269015019001</c:v>
                </c:pt>
                <c:pt idx="3">
                  <c:v>0.27420778750774527</c:v>
                </c:pt>
                <c:pt idx="4">
                  <c:v>0.4061819717166843</c:v>
                </c:pt>
                <c:pt idx="5">
                  <c:v>8.2250821137364356E-5</c:v>
                </c:pt>
                <c:pt idx="6">
                  <c:v>3.0569888522720419E-2</c:v>
                </c:pt>
                <c:pt idx="7">
                  <c:v>2.9423860414873142E-2</c:v>
                </c:pt>
                <c:pt idx="8">
                  <c:v>8.9488893397452422E-3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AF86-4F01-BBC6-6B92773852F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112256267409470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55195231846019244"/>
          <c:y val="0.2200462962962963"/>
          <c:w val="0.36554002624671916"/>
          <c:h val="0.60923337707786529"/>
        </c:manualLayout>
      </c:layout>
      <c:pieChart>
        <c:varyColors val="1"/>
        <c:ser>
          <c:idx val="0"/>
          <c:order val="0"/>
          <c:tx>
            <c:v>Состав оборотных активов, 2017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46D-4D74-8EB9-10BA5B1FB15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46D-4D74-8EB9-10BA5B1FB15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46D-4D74-8EB9-10BA5B1FB15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46D-4D74-8EB9-10BA5B1FB15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846D-4D74-8EB9-10BA5B1FB15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846D-4D74-8EB9-10BA5B1FB15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846D-4D74-8EB9-10BA5B1FB15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846D-4D74-8EB9-10BA5B1FB1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'Вертикальный анализ'!$A$17:$A$24</c:f>
              <c:strCache>
                <c:ptCount val="8"/>
                <c:pt idx="0">
                  <c:v>Товарно-материальные запасы</c:v>
                </c:pt>
                <c:pt idx="1">
                  <c:v>Дебиторская задолженность</c:v>
                </c:pt>
                <c:pt idx="2">
                  <c:v>Авансы выданные</c:v>
                </c:pt>
                <c:pt idx="3">
                  <c:v>Дебиторская задолженность по налогу на прибыль</c:v>
                </c:pt>
                <c:pt idx="4">
                  <c:v>Дебиторская задолженность по прочим налогам</c:v>
                </c:pt>
                <c:pt idx="5">
                  <c:v>Прочие оборотные активы</c:v>
                </c:pt>
                <c:pt idx="6">
                  <c:v>Денежные средства и их эквиваленты</c:v>
                </c:pt>
                <c:pt idx="7">
                  <c:v>Активы, предназначенные для продажи</c:v>
                </c:pt>
              </c:strCache>
            </c:strRef>
          </c:cat>
          <c:val>
            <c:numRef>
              <c:f>'Вертикальный анализ'!$C$17:$C$24</c:f>
              <c:numCache>
                <c:formatCode>0%</c:formatCode>
                <c:ptCount val="8"/>
                <c:pt idx="0">
                  <c:v>0.53425231448366062</c:v>
                </c:pt>
                <c:pt idx="1">
                  <c:v>0.21289162289754962</c:v>
                </c:pt>
                <c:pt idx="2">
                  <c:v>7.9397518955263528E-3</c:v>
                </c:pt>
                <c:pt idx="3">
                  <c:v>1.6349553452821319E-4</c:v>
                </c:pt>
                <c:pt idx="4">
                  <c:v>6.2884469967913997E-2</c:v>
                </c:pt>
                <c:pt idx="5">
                  <c:v>7.152929635609327E-5</c:v>
                </c:pt>
                <c:pt idx="6">
                  <c:v>0.18179681592446506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846D-4D74-8EB9-10BA5B1FB15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298597124800335E-2"/>
          <c:y val="0.52068824935362656"/>
          <c:w val="0.57557541727896822"/>
          <c:h val="0.439767948796427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112256267409470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55195231846019244"/>
          <c:y val="0.2200462962962963"/>
          <c:w val="0.36554002624671916"/>
          <c:h val="0.60923337707786529"/>
        </c:manualLayout>
      </c:layout>
      <c:pieChart>
        <c:varyColors val="1"/>
        <c:ser>
          <c:idx val="0"/>
          <c:order val="0"/>
          <c:tx>
            <c:v>Состав оборотных активов, 2021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D00-40E7-8DE0-D7DE449A9A9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D00-40E7-8DE0-D7DE449A9A9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FD00-40E7-8DE0-D7DE449A9A9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FD00-40E7-8DE0-D7DE449A9A9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FD00-40E7-8DE0-D7DE449A9A9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FD00-40E7-8DE0-D7DE449A9A9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FD00-40E7-8DE0-D7DE449A9A9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FD00-40E7-8DE0-D7DE449A9A9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'Вертикальный анализ'!$A$17:$A$24</c:f>
              <c:strCache>
                <c:ptCount val="8"/>
                <c:pt idx="0">
                  <c:v>Товарно-материальные запасы</c:v>
                </c:pt>
                <c:pt idx="1">
                  <c:v>Дебиторская задолженность</c:v>
                </c:pt>
                <c:pt idx="2">
                  <c:v>Авансы выданные</c:v>
                </c:pt>
                <c:pt idx="3">
                  <c:v>Дебиторская задолженность по налогу на прибыль</c:v>
                </c:pt>
                <c:pt idx="4">
                  <c:v>Дебиторская задолженность по прочим налогам</c:v>
                </c:pt>
                <c:pt idx="5">
                  <c:v>Прочие оборотные активы</c:v>
                </c:pt>
                <c:pt idx="6">
                  <c:v>Денежные средства и их эквиваленты</c:v>
                </c:pt>
                <c:pt idx="7">
                  <c:v>Активы, предназначенные для продажи</c:v>
                </c:pt>
              </c:strCache>
            </c:strRef>
          </c:cat>
          <c:val>
            <c:numRef>
              <c:f>'Вертикальный анализ'!$K$17:$K$24</c:f>
              <c:numCache>
                <c:formatCode>0%</c:formatCode>
                <c:ptCount val="8"/>
                <c:pt idx="0">
                  <c:v>0.85817397088787273</c:v>
                </c:pt>
                <c:pt idx="1">
                  <c:v>0.24547316373083591</c:v>
                </c:pt>
                <c:pt idx="2">
                  <c:v>8.4958385057380958E-3</c:v>
                </c:pt>
                <c:pt idx="3">
                  <c:v>1.3812284919624758E-2</c:v>
                </c:pt>
                <c:pt idx="4">
                  <c:v>0.17761645112797708</c:v>
                </c:pt>
                <c:pt idx="5">
                  <c:v>3.5617572033920498E-4</c:v>
                </c:pt>
                <c:pt idx="6">
                  <c:v>6.3132146430124089E-2</c:v>
                </c:pt>
                <c:pt idx="7" formatCode="0.00%">
                  <c:v>4.1903025922259411E-5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FD00-40E7-8DE0-D7DE449A9A9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7057931390877971E-2"/>
          <c:y val="0.52399676350956026"/>
          <c:w val="0.57557541727896822"/>
          <c:h val="0.439767948796427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112256267409470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55195231846019244"/>
          <c:y val="0.2200462962962963"/>
          <c:w val="0.36554002624671916"/>
          <c:h val="0.60923337707786529"/>
        </c:manualLayout>
      </c:layout>
      <c:pieChart>
        <c:varyColors val="1"/>
        <c:ser>
          <c:idx val="0"/>
          <c:order val="0"/>
          <c:tx>
            <c:v>Состав финансвого отчета 2017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014-4B55-9E5A-DC2980AA867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014-4B55-9E5A-DC2980AA867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014-4B55-9E5A-DC2980AA867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1014-4B55-9E5A-DC2980AA867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1014-4B55-9E5A-DC2980AA86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('Вертикальный анализ'!$A$14,'Вертикальный анализ'!$A$25,'Вертикальный анализ'!$A$35,'Вертикальный анализ'!$A$43,'Вертикальный анализ'!$A$54)</c:f>
              <c:strCache>
                <c:ptCount val="5"/>
                <c:pt idx="0">
                  <c:v>Итого внеоборотные активы</c:v>
                </c:pt>
                <c:pt idx="1">
                  <c:v>Итого оборотные активы</c:v>
                </c:pt>
                <c:pt idx="2">
                  <c:v>Итого капитал</c:v>
                </c:pt>
                <c:pt idx="3">
                  <c:v>Итого долгосрочные обязательства</c:v>
                </c:pt>
                <c:pt idx="4">
                  <c:v>Итого краткосрочные обязательства</c:v>
                </c:pt>
              </c:strCache>
            </c:strRef>
          </c:cat>
          <c:val>
            <c:numRef>
              <c:f>('Вертикальный анализ'!$B$14,'Вертикальный анализ'!$B$25,'Вертикальный анализ'!$B$35,'Вертикальный анализ'!$B$43,'Вертикальный анализ'!$B$54)</c:f>
              <c:numCache>
                <c:formatCode>#\ ##0\ _₽</c:formatCode>
                <c:ptCount val="5"/>
                <c:pt idx="0">
                  <c:v>23663</c:v>
                </c:pt>
                <c:pt idx="1">
                  <c:v>97862</c:v>
                </c:pt>
                <c:pt idx="2">
                  <c:v>23154</c:v>
                </c:pt>
                <c:pt idx="3">
                  <c:v>4</c:v>
                </c:pt>
                <c:pt idx="4">
                  <c:v>98367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1014-4B55-9E5A-DC2980AA867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32207718092063153"/>
          <c:w val="0.57557541727896822"/>
          <c:h val="0.439767948796427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50552274525562E-2"/>
          <c:y val="4.6484822389379767E-2"/>
          <c:w val="0.88876596476750558"/>
          <c:h val="0.75881398151654322"/>
        </c:manualLayout>
      </c:layout>
      <c:barChart>
        <c:barDir val="col"/>
        <c:grouping val="clustered"/>
        <c:varyColors val="0"/>
        <c:ser>
          <c:idx val="0"/>
          <c:order val="0"/>
          <c:tx>
            <c:v>2017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Чистая прибыль и общий совокупный доход за год</c:v>
              </c:pt>
            </c:strLit>
          </c:cat>
          <c:val>
            <c:numRef>
              <c:f>'Вертикальный анализ'!$B$76</c:f>
              <c:numCache>
                <c:formatCode>General</c:formatCode>
                <c:ptCount val="1"/>
                <c:pt idx="0">
                  <c:v>6954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E62B-4EB2-9654-11C5A9A9283C}"/>
            </c:ext>
          </c:extLst>
        </c:ser>
        <c:ser>
          <c:idx val="1"/>
          <c:order val="1"/>
          <c:tx>
            <c:v>2018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Чистая прибыль и общий совокупный доход за год</c:v>
              </c:pt>
            </c:strLit>
          </c:cat>
          <c:val>
            <c:numRef>
              <c:f>'Вертикальный анализ'!$D$76</c:f>
              <c:numCache>
                <c:formatCode>General</c:formatCode>
                <c:ptCount val="1"/>
                <c:pt idx="0">
                  <c:v>8365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E62B-4EB2-9654-11C5A9A9283C}"/>
            </c:ext>
          </c:extLst>
        </c:ser>
        <c:ser>
          <c:idx val="2"/>
          <c:order val="2"/>
          <c:tx>
            <c:v>2019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Чистая прибыль и общий совокупный доход за год</c:v>
              </c:pt>
            </c:strLit>
          </c:cat>
          <c:val>
            <c:numRef>
              <c:f>'Вертикальный анализ'!$F$76</c:f>
              <c:numCache>
                <c:formatCode>General</c:formatCode>
                <c:ptCount val="1"/>
                <c:pt idx="0">
                  <c:v>7134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E62B-4EB2-9654-11C5A9A9283C}"/>
            </c:ext>
          </c:extLst>
        </c:ser>
        <c:ser>
          <c:idx val="3"/>
          <c:order val="3"/>
          <c:tx>
            <c:v>2020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Чистая прибыль и общий совокупный доход за год</c:v>
              </c:pt>
            </c:strLit>
          </c:cat>
          <c:val>
            <c:numRef>
              <c:f>'Вертикальный анализ'!$H$76</c:f>
              <c:numCache>
                <c:formatCode>General</c:formatCode>
                <c:ptCount val="1"/>
                <c:pt idx="0">
                  <c:v>6541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E62B-4EB2-9654-11C5A9A9283C}"/>
            </c:ext>
          </c:extLst>
        </c:ser>
        <c:ser>
          <c:idx val="4"/>
          <c:order val="4"/>
          <c:tx>
            <c:v>2021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Чистая прибыль и общий совокупный доход за год</c:v>
              </c:pt>
            </c:strLit>
          </c:cat>
          <c:val>
            <c:numRef>
              <c:f>'Вертикальный анализ'!$J$76</c:f>
              <c:numCache>
                <c:formatCode>General</c:formatCode>
                <c:ptCount val="1"/>
                <c:pt idx="0">
                  <c:v>2380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E62B-4EB2-9654-11C5A9A9283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97748288"/>
        <c:axId val="297747504"/>
      </c:barChart>
      <c:catAx>
        <c:axId val="29774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7747504"/>
        <c:crosses val="autoZero"/>
        <c:auto val="1"/>
        <c:lblAlgn val="ctr"/>
        <c:lblOffset val="100"/>
        <c:noMultiLvlLbl val="0"/>
      </c:catAx>
      <c:valAx>
        <c:axId val="29774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774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50552274525562E-2"/>
          <c:y val="4.6484822389379767E-2"/>
          <c:w val="0.88876596476750558"/>
          <c:h val="0.75881398151654322"/>
        </c:manualLayout>
      </c:layout>
      <c:barChart>
        <c:barDir val="col"/>
        <c:grouping val="clustered"/>
        <c:varyColors val="0"/>
        <c:ser>
          <c:idx val="0"/>
          <c:order val="0"/>
          <c:tx>
            <c:v>2017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Активы</c:v>
              </c:pt>
            </c:strLit>
          </c:cat>
          <c:val>
            <c:numRef>
              <c:f>'Вертикальный анализ'!$B$27</c:f>
              <c:numCache>
                <c:formatCode>#\ ##0\ _₽</c:formatCode>
                <c:ptCount val="1"/>
                <c:pt idx="0">
                  <c:v>121525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F6F-45D1-9E4D-D7629A68A2DA}"/>
            </c:ext>
          </c:extLst>
        </c:ser>
        <c:ser>
          <c:idx val="1"/>
          <c:order val="1"/>
          <c:tx>
            <c:v>2018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Активы</c:v>
              </c:pt>
            </c:strLit>
          </c:cat>
          <c:val>
            <c:numRef>
              <c:f>'Вертикальный анализ'!$D$27</c:f>
              <c:numCache>
                <c:formatCode>#\ ##0\ _₽</c:formatCode>
                <c:ptCount val="1"/>
                <c:pt idx="0">
                  <c:v>285434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F6F-45D1-9E4D-D7629A68A2DA}"/>
            </c:ext>
          </c:extLst>
        </c:ser>
        <c:ser>
          <c:idx val="2"/>
          <c:order val="2"/>
          <c:tx>
            <c:v>2019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Активы</c:v>
              </c:pt>
            </c:strLit>
          </c:cat>
          <c:val>
            <c:numRef>
              <c:f>'Вертикальный анализ'!$F$27</c:f>
              <c:numCache>
                <c:formatCode>#\ ##0\ _₽</c:formatCode>
                <c:ptCount val="1"/>
                <c:pt idx="0">
                  <c:v>349628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F6F-45D1-9E4D-D7629A68A2DA}"/>
            </c:ext>
          </c:extLst>
        </c:ser>
        <c:ser>
          <c:idx val="3"/>
          <c:order val="3"/>
          <c:tx>
            <c:v>2020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Активы</c:v>
              </c:pt>
            </c:strLit>
          </c:cat>
          <c:val>
            <c:numRef>
              <c:f>'Вертикальный анализ'!$H$27</c:f>
              <c:numCache>
                <c:formatCode>#\ ##0\ _₽</c:formatCode>
                <c:ptCount val="1"/>
                <c:pt idx="0">
                  <c:v>396704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F6F-45D1-9E4D-D7629A68A2DA}"/>
            </c:ext>
          </c:extLst>
        </c:ser>
        <c:ser>
          <c:idx val="4"/>
          <c:order val="4"/>
          <c:tx>
            <c:v>2021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Активы</c:v>
              </c:pt>
            </c:strLit>
          </c:cat>
          <c:val>
            <c:numRef>
              <c:f>'Вертикальный анализ'!$J$27</c:f>
              <c:numCache>
                <c:formatCode>#\ ##0\ _₽</c:formatCode>
                <c:ptCount val="1"/>
                <c:pt idx="0">
                  <c:v>443372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F6F-45D1-9E4D-D7629A68A2D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97742800"/>
        <c:axId val="297745936"/>
      </c:barChart>
      <c:catAx>
        <c:axId val="29774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7745936"/>
        <c:crosses val="autoZero"/>
        <c:auto val="1"/>
        <c:lblAlgn val="ctr"/>
        <c:lblOffset val="100"/>
        <c:noMultiLvlLbl val="0"/>
      </c:catAx>
      <c:valAx>
        <c:axId val="29774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_₽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774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2463555527585873"/>
          <c:y val="8.090359763009792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55195231846019244"/>
          <c:y val="0.2200462962962963"/>
          <c:w val="0.36554002624671916"/>
          <c:h val="0.60923337707786529"/>
        </c:manualLayout>
      </c:layout>
      <c:pieChart>
        <c:varyColors val="1"/>
        <c:ser>
          <c:idx val="0"/>
          <c:order val="0"/>
          <c:tx>
            <c:v>Состав финансвого отчета 2021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3DD-4713-B358-F2A6F746E7D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3DD-4713-B358-F2A6F746E7D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3DD-4713-B358-F2A6F746E7D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3DD-4713-B358-F2A6F746E7D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3DD-4713-B358-F2A6F746E7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('Вертикальный анализ'!$A$14,'Вертикальный анализ'!$A$25,'Вертикальный анализ'!$A$35,'Вертикальный анализ'!$A$43,'Вертикальный анализ'!$A$54)</c:f>
              <c:strCache>
                <c:ptCount val="5"/>
                <c:pt idx="0">
                  <c:v>Итого внеоборотные активы</c:v>
                </c:pt>
                <c:pt idx="1">
                  <c:v>Итого оборотные активы</c:v>
                </c:pt>
                <c:pt idx="2">
                  <c:v>Итого капитал</c:v>
                </c:pt>
                <c:pt idx="3">
                  <c:v>Итого долгосрочные обязательства</c:v>
                </c:pt>
                <c:pt idx="4">
                  <c:v>Итого краткосрочные обязательства</c:v>
                </c:pt>
              </c:strCache>
            </c:strRef>
          </c:cat>
          <c:val>
            <c:numRef>
              <c:f>('Вертикальный анализ'!$J$15,'Вертикальный анализ'!$J$26,'Вертикальный анализ'!$J$36,'Вертикальный анализ'!$J$44,'Вертикальный анализ'!$J$55)</c:f>
              <c:numCache>
                <c:formatCode>0.00%</c:formatCode>
                <c:ptCount val="5"/>
                <c:pt idx="0">
                  <c:v>0.18514487714300507</c:v>
                </c:pt>
                <c:pt idx="1">
                  <c:v>0.26497578189799664</c:v>
                </c:pt>
                <c:pt idx="2">
                  <c:v>2.3565314764260558E-2</c:v>
                </c:pt>
                <c:pt idx="3">
                  <c:v>9.9758681917996528E-2</c:v>
                </c:pt>
                <c:pt idx="4">
                  <c:v>0.32679666235874466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C3DD-4713-B358-F2A6F746E7D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32207718092063153"/>
          <c:w val="0.57557541727896822"/>
          <c:h val="0.439767948796427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112256267409470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55195231846019244"/>
          <c:y val="0.2200462962962963"/>
          <c:w val="0.36554002624671916"/>
          <c:h val="0.60923337707786529"/>
        </c:manualLayout>
      </c:layout>
      <c:pieChart>
        <c:varyColors val="1"/>
        <c:ser>
          <c:idx val="0"/>
          <c:order val="0"/>
          <c:tx>
            <c:v>Состав финансвого отчета 2017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F62-471B-AF3A-B85A8D59A16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F62-471B-AF3A-B85A8D59A16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AF62-471B-AF3A-B85A8D59A16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AF62-471B-AF3A-B85A8D59A16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AF62-471B-AF3A-B85A8D59A16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('Вертикальный анализ'!$A$14,'Вертикальный анализ'!$A$25,'Вертикальный анализ'!$A$35,'Вертикальный анализ'!$A$43,'Вертикальный анализ'!$A$54)</c:f>
              <c:strCache>
                <c:ptCount val="5"/>
                <c:pt idx="0">
                  <c:v>Итого внеоборотные активы</c:v>
                </c:pt>
                <c:pt idx="1">
                  <c:v>Итого оборотные активы</c:v>
                </c:pt>
                <c:pt idx="2">
                  <c:v>Итого капитал</c:v>
                </c:pt>
                <c:pt idx="3">
                  <c:v>Итого долгосрочные обязательства</c:v>
                </c:pt>
                <c:pt idx="4">
                  <c:v>Итого краткосрочные обязательства</c:v>
                </c:pt>
              </c:strCache>
            </c:strRef>
          </c:cat>
          <c:val>
            <c:numRef>
              <c:f>('Вертикальный анализ'!$B$14,'Вертикальный анализ'!$B$25,'Вертикальный анализ'!$B$35,'Вертикальный анализ'!$B$43,'Вертикальный анализ'!$B$54)</c:f>
              <c:numCache>
                <c:formatCode>#\ ##0\ _₽</c:formatCode>
                <c:ptCount val="5"/>
                <c:pt idx="0">
                  <c:v>23663</c:v>
                </c:pt>
                <c:pt idx="1">
                  <c:v>97862</c:v>
                </c:pt>
                <c:pt idx="2">
                  <c:v>23154</c:v>
                </c:pt>
                <c:pt idx="3">
                  <c:v>4</c:v>
                </c:pt>
                <c:pt idx="4">
                  <c:v>98367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AF62-471B-AF3A-B85A8D59A16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32207718092063153"/>
          <c:w val="0.57557541727896822"/>
          <c:h val="0.439767948796427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1E5-4353-B81E-E2DDA717445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1E5-4353-B81E-E2DDA717445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1E5-4353-B81E-E2DDA717445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1E5-4353-B81E-E2DDA7174458}"/>
              </c:ext>
            </c:extLst>
          </c:dPt>
          <c:val>
            <c:numRef>
              <c:f>'Вертикальный анализ'!$B$68:$E$68</c:f>
              <c:numCache>
                <c:formatCode>0%</c:formatCode>
                <c:ptCount val="4"/>
                <c:pt idx="0" formatCode="General">
                  <c:v>216</c:v>
                </c:pt>
                <c:pt idx="1">
                  <c:v>1.0898247703042931E-3</c:v>
                </c:pt>
                <c:pt idx="2" formatCode="General">
                  <c:v>801</c:v>
                </c:pt>
                <c:pt idx="3">
                  <c:v>2.4945344469981499E-3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123-4FD5-B9C8-BE97A8E90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Основные средства, млн руб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cat>
            <c:strRef>
              <c:f>'ОФП и ОПУ'!$B$2:$F$2</c:f>
              <c:strCache>
                <c:ptCount val="5"/>
                <c:pt idx="0">
                  <c:v>31 декабря 2017 года </c:v>
                </c:pt>
                <c:pt idx="1">
                  <c:v>31 декабря 2018 года</c:v>
                </c:pt>
                <c:pt idx="2">
                  <c:v>31 декабря 2019 года</c:v>
                </c:pt>
                <c:pt idx="3">
                  <c:v>31 декабря 2020 года</c:v>
                </c:pt>
                <c:pt idx="4">
                  <c:v>31 декабря 2021 года</c:v>
                </c:pt>
              </c:strCache>
            </c:strRef>
          </c:cat>
          <c:val>
            <c:numRef>
              <c:f>'ОФП и ОПУ'!$B$5:$F$5</c:f>
              <c:numCache>
                <c:formatCode>General</c:formatCode>
                <c:ptCount val="5"/>
                <c:pt idx="0">
                  <c:v>7936</c:v>
                </c:pt>
                <c:pt idx="1">
                  <c:v>20734</c:v>
                </c:pt>
                <c:pt idx="2">
                  <c:v>19777</c:v>
                </c:pt>
                <c:pt idx="3">
                  <c:v>17025</c:v>
                </c:pt>
                <c:pt idx="4">
                  <c:v>17675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1A-FA40-B55C-34B3C6355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08872168"/>
        <c:axId val="508869032"/>
      </c:lineChart>
      <c:catAx>
        <c:axId val="50887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869032"/>
        <c:crosses val="autoZero"/>
        <c:auto val="1"/>
        <c:lblAlgn val="ctr"/>
        <c:lblOffset val="100"/>
        <c:noMultiLvlLbl val="0"/>
      </c:catAx>
      <c:valAx>
        <c:axId val="508869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872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Дебиторская</a:t>
            </a:r>
            <a:r>
              <a:rPr lang="ru-RU" baseline="0"/>
              <a:t> задолженность, млн руб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cat>
            <c:strRef>
              <c:f>'ОФП и ОПУ'!$B$2:$F$2</c:f>
              <c:strCache>
                <c:ptCount val="5"/>
                <c:pt idx="0">
                  <c:v>31 декабря 2017 года </c:v>
                </c:pt>
                <c:pt idx="1">
                  <c:v>31 декабря 2018 года</c:v>
                </c:pt>
                <c:pt idx="2">
                  <c:v>31 декабря 2019 года</c:v>
                </c:pt>
                <c:pt idx="3">
                  <c:v>31 декабря 2020 года</c:v>
                </c:pt>
                <c:pt idx="4">
                  <c:v>31 декабря 2021 года</c:v>
                </c:pt>
              </c:strCache>
            </c:strRef>
          </c:cat>
          <c:val>
            <c:numRef>
              <c:f>'ОФП и ОПУ'!$B$17:$F$17</c:f>
              <c:numCache>
                <c:formatCode>General</c:formatCode>
                <c:ptCount val="5"/>
                <c:pt idx="0">
                  <c:v>20834</c:v>
                </c:pt>
                <c:pt idx="1">
                  <c:v>29631</c:v>
                </c:pt>
                <c:pt idx="2">
                  <c:v>34136</c:v>
                </c:pt>
                <c:pt idx="3">
                  <c:v>46224</c:v>
                </c:pt>
                <c:pt idx="4">
                  <c:v>46865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E74-A14E-8213-9DDEBEFA1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08869424"/>
        <c:axId val="508860800"/>
      </c:lineChart>
      <c:catAx>
        <c:axId val="50886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860800"/>
        <c:crosses val="autoZero"/>
        <c:auto val="1"/>
        <c:lblAlgn val="ctr"/>
        <c:lblOffset val="100"/>
        <c:noMultiLvlLbl val="0"/>
      </c:catAx>
      <c:valAx>
        <c:axId val="508860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86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Выручка,</a:t>
            </a:r>
            <a:r>
              <a:rPr lang="ru-RU" baseline="0"/>
              <a:t> млн руб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cat>
            <c:strRef>
              <c:f>'ОФП и ОПУ'!$B$2:$F$2</c:f>
              <c:strCache>
                <c:ptCount val="5"/>
                <c:pt idx="0">
                  <c:v>31 декабря 2017 года </c:v>
                </c:pt>
                <c:pt idx="1">
                  <c:v>31 декабря 2018 года</c:v>
                </c:pt>
                <c:pt idx="2">
                  <c:v>31 декабря 2019 года</c:v>
                </c:pt>
                <c:pt idx="3">
                  <c:v>31 декабря 2020 года</c:v>
                </c:pt>
                <c:pt idx="4">
                  <c:v>31 декабря 2021 года</c:v>
                </c:pt>
              </c:strCache>
            </c:strRef>
          </c:cat>
          <c:val>
            <c:numRef>
              <c:f>'ОФП и ОПУ'!$B$56:$F$56</c:f>
              <c:numCache>
                <c:formatCode>General</c:formatCode>
                <c:ptCount val="5"/>
                <c:pt idx="0">
                  <c:v>198197</c:v>
                </c:pt>
                <c:pt idx="1">
                  <c:v>321102</c:v>
                </c:pt>
                <c:pt idx="2">
                  <c:v>365216</c:v>
                </c:pt>
                <c:pt idx="3">
                  <c:v>417857</c:v>
                </c:pt>
                <c:pt idx="4">
                  <c:v>476364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90D-364F-9E7B-3E5A242E3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99455680"/>
        <c:axId val="299457248"/>
      </c:lineChart>
      <c:catAx>
        <c:axId val="29945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9457248"/>
        <c:crosses val="autoZero"/>
        <c:auto val="1"/>
        <c:lblAlgn val="ctr"/>
        <c:lblOffset val="100"/>
        <c:noMultiLvlLbl val="0"/>
      </c:catAx>
      <c:valAx>
        <c:axId val="299457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945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Чистая</a:t>
            </a:r>
            <a:r>
              <a:rPr lang="ru-RU" baseline="0"/>
              <a:t> прибыль, млн руб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cat>
            <c:strRef>
              <c:f>'ОФП и ОПУ'!$B$2:$F$2</c:f>
              <c:strCache>
                <c:ptCount val="5"/>
                <c:pt idx="0">
                  <c:v>31 декабря 2017 года </c:v>
                </c:pt>
                <c:pt idx="1">
                  <c:v>31 декабря 2018 года</c:v>
                </c:pt>
                <c:pt idx="2">
                  <c:v>31 декабря 2019 года</c:v>
                </c:pt>
                <c:pt idx="3">
                  <c:v>31 декабря 2020 года</c:v>
                </c:pt>
                <c:pt idx="4">
                  <c:v>31 декабря 2021 года</c:v>
                </c:pt>
              </c:strCache>
            </c:strRef>
          </c:cat>
          <c:val>
            <c:numRef>
              <c:f>'ОФП и ОПУ'!$B$69:$F$69</c:f>
              <c:numCache>
                <c:formatCode>General</c:formatCode>
                <c:ptCount val="5"/>
                <c:pt idx="0">
                  <c:v>6954</c:v>
                </c:pt>
                <c:pt idx="1">
                  <c:v>8365</c:v>
                </c:pt>
                <c:pt idx="2">
                  <c:v>7134</c:v>
                </c:pt>
                <c:pt idx="3">
                  <c:v>6541</c:v>
                </c:pt>
                <c:pt idx="4">
                  <c:v>2380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CA4-214A-931C-764E3B8BD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99465872"/>
        <c:axId val="299454112"/>
      </c:lineChart>
      <c:catAx>
        <c:axId val="29946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9454112"/>
        <c:crosses val="autoZero"/>
        <c:auto val="1"/>
        <c:lblAlgn val="ctr"/>
        <c:lblOffset val="100"/>
        <c:noMultiLvlLbl val="0"/>
      </c:catAx>
      <c:valAx>
        <c:axId val="299454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946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Период оборачиваемости запасов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cat>
            <c:numRef>
              <c:f>'ОФП и ОПУ'!$N$53:$R$53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'ОФП и ОПУ'!$N$54:$R$54</c:f>
              <c:numCache>
                <c:formatCode>General</c:formatCode>
                <c:ptCount val="5"/>
                <c:pt idx="0">
                  <c:v>117.26229643304542</c:v>
                </c:pt>
                <c:pt idx="1">
                  <c:v>124.51635919707336</c:v>
                </c:pt>
                <c:pt idx="2">
                  <c:v>161.27513742827648</c:v>
                </c:pt>
                <c:pt idx="3">
                  <c:v>157.21196204940691</c:v>
                </c:pt>
                <c:pt idx="4">
                  <c:v>148.72674145755718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E37-4444-92B8-B3A4AE48D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99469792"/>
        <c:axId val="299473320"/>
      </c:lineChart>
      <c:catAx>
        <c:axId val="29946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9473320"/>
        <c:crosses val="autoZero"/>
        <c:auto val="1"/>
        <c:lblAlgn val="ctr"/>
        <c:lblOffset val="100"/>
        <c:noMultiLvlLbl val="0"/>
      </c:catAx>
      <c:valAx>
        <c:axId val="299473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946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4" Type="http://schemas.openxmlformats.org/officeDocument/2006/relationships/chart" Target="../charts/chart3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7.xml"/><Relationship Id="rId3" Type="http://schemas.openxmlformats.org/officeDocument/2006/relationships/chart" Target="../charts/chart42.xml"/><Relationship Id="rId7" Type="http://schemas.openxmlformats.org/officeDocument/2006/relationships/chart" Target="../charts/chart46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5" Type="http://schemas.openxmlformats.org/officeDocument/2006/relationships/chart" Target="../charts/chart44.xml"/><Relationship Id="rId10" Type="http://schemas.openxmlformats.org/officeDocument/2006/relationships/chart" Target="../charts/chart49.xml"/><Relationship Id="rId4" Type="http://schemas.openxmlformats.org/officeDocument/2006/relationships/chart" Target="../charts/chart43.xml"/><Relationship Id="rId9" Type="http://schemas.openxmlformats.org/officeDocument/2006/relationships/chart" Target="../charts/chart4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459540</xdr:colOff>
      <xdr:row>1</xdr:row>
      <xdr:rowOff>38761</xdr:rowOff>
    </xdr:from>
    <xdr:to>
      <xdr:col>14</xdr:col>
      <xdr:colOff>502417</xdr:colOff>
      <xdr:row>15</xdr:row>
      <xdr:rowOff>139561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xmlns="" id="{98F5668F-F173-20D5-A0DE-460D85CC6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9769</xdr:colOff>
      <xdr:row>1</xdr:row>
      <xdr:rowOff>37958</xdr:rowOff>
    </xdr:from>
    <xdr:to>
      <xdr:col>22</xdr:col>
      <xdr:colOff>614066</xdr:colOff>
      <xdr:row>15</xdr:row>
      <xdr:rowOff>139559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6FA8165-13CD-A51F-ADC0-CC109B441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65592</xdr:colOff>
      <xdr:row>1</xdr:row>
      <xdr:rowOff>37960</xdr:rowOff>
    </xdr:from>
    <xdr:to>
      <xdr:col>30</xdr:col>
      <xdr:colOff>544284</xdr:colOff>
      <xdr:row>15</xdr:row>
      <xdr:rowOff>125604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E16F5C81-0BCB-1389-1218-7E752AB9B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470319</xdr:colOff>
      <xdr:row>16</xdr:row>
      <xdr:rowOff>121695</xdr:rowOff>
    </xdr:from>
    <xdr:to>
      <xdr:col>14</xdr:col>
      <xdr:colOff>516374</xdr:colOff>
      <xdr:row>32</xdr:row>
      <xdr:rowOff>55824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xmlns="" id="{62E9480C-277B-769A-4C8F-CDA12A289F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9769</xdr:colOff>
      <xdr:row>16</xdr:row>
      <xdr:rowOff>93784</xdr:rowOff>
    </xdr:from>
    <xdr:to>
      <xdr:col>22</xdr:col>
      <xdr:colOff>641977</xdr:colOff>
      <xdr:row>32</xdr:row>
      <xdr:rowOff>69780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xmlns="" id="{5AA97B14-BDCB-F889-8A49-E108A6CBA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65592</xdr:colOff>
      <xdr:row>16</xdr:row>
      <xdr:rowOff>79828</xdr:rowOff>
    </xdr:from>
    <xdr:to>
      <xdr:col>30</xdr:col>
      <xdr:colOff>572196</xdr:colOff>
      <xdr:row>32</xdr:row>
      <xdr:rowOff>41868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xmlns="" id="{F8182DF1-5977-1670-39C9-68F529333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470318</xdr:colOff>
      <xdr:row>32</xdr:row>
      <xdr:rowOff>177522</xdr:rowOff>
    </xdr:from>
    <xdr:to>
      <xdr:col>14</xdr:col>
      <xdr:colOff>558242</xdr:colOff>
      <xdr:row>47</xdr:row>
      <xdr:rowOff>167474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xmlns="" id="{B1C6B126-4062-9FE3-104C-B16FF0E4E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9769</xdr:colOff>
      <xdr:row>32</xdr:row>
      <xdr:rowOff>163565</xdr:rowOff>
    </xdr:from>
    <xdr:to>
      <xdr:col>22</xdr:col>
      <xdr:colOff>641977</xdr:colOff>
      <xdr:row>47</xdr:row>
      <xdr:rowOff>167473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xmlns="" id="{2E1FF305-F9B1-CB37-6FDF-F544B503C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292719</xdr:colOff>
      <xdr:row>50</xdr:row>
      <xdr:rowOff>30046</xdr:rowOff>
    </xdr:from>
    <xdr:to>
      <xdr:col>25</xdr:col>
      <xdr:colOff>202890</xdr:colOff>
      <xdr:row>63</xdr:row>
      <xdr:rowOff>62880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xmlns="" id="{630D79A8-E339-5389-CA89-2DB8555BC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323695</xdr:colOff>
      <xdr:row>63</xdr:row>
      <xdr:rowOff>169436</xdr:rowOff>
    </xdr:from>
    <xdr:to>
      <xdr:col>25</xdr:col>
      <xdr:colOff>233866</xdr:colOff>
      <xdr:row>71</xdr:row>
      <xdr:rowOff>573977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xmlns="" id="{0704A0FA-1502-70FD-1E90-2CF5F1C63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339182</xdr:colOff>
      <xdr:row>72</xdr:row>
      <xdr:rowOff>76510</xdr:rowOff>
    </xdr:from>
    <xdr:to>
      <xdr:col>25</xdr:col>
      <xdr:colOff>249353</xdr:colOff>
      <xdr:row>87</xdr:row>
      <xdr:rowOff>31905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xmlns="" id="{24B3F0B6-768D-B5A7-465A-B8E74467E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370158</xdr:colOff>
      <xdr:row>87</xdr:row>
      <xdr:rowOff>184923</xdr:rowOff>
    </xdr:from>
    <xdr:to>
      <xdr:col>25</xdr:col>
      <xdr:colOff>280329</xdr:colOff>
      <xdr:row>102</xdr:row>
      <xdr:rowOff>140318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xmlns="" id="{D7B27E05-F96E-C7F1-0CD3-7DD9E519F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37</xdr:col>
      <xdr:colOff>556013</xdr:colOff>
      <xdr:row>50</xdr:row>
      <xdr:rowOff>200412</xdr:rowOff>
    </xdr:from>
    <xdr:to>
      <xdr:col>44</xdr:col>
      <xdr:colOff>466183</xdr:colOff>
      <xdr:row>64</xdr:row>
      <xdr:rowOff>47392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xmlns="" id="{CE552EE7-08C3-4583-F827-BD26ED0A3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37</xdr:col>
      <xdr:colOff>556013</xdr:colOff>
      <xdr:row>64</xdr:row>
      <xdr:rowOff>231388</xdr:rowOff>
    </xdr:from>
    <xdr:to>
      <xdr:col>44</xdr:col>
      <xdr:colOff>466183</xdr:colOff>
      <xdr:row>73</xdr:row>
      <xdr:rowOff>31905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xmlns="" id="{01BEA1A6-EC0F-852A-FAD1-F1BCD0BF7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37</xdr:col>
      <xdr:colOff>586989</xdr:colOff>
      <xdr:row>73</xdr:row>
      <xdr:rowOff>184923</xdr:rowOff>
    </xdr:from>
    <xdr:to>
      <xdr:col>44</xdr:col>
      <xdr:colOff>497159</xdr:colOff>
      <xdr:row>88</xdr:row>
      <xdr:rowOff>140319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xmlns="" id="{F07B2302-C774-862D-7C87-9E1EA1148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37</xdr:col>
      <xdr:colOff>617964</xdr:colOff>
      <xdr:row>89</xdr:row>
      <xdr:rowOff>91997</xdr:rowOff>
    </xdr:from>
    <xdr:to>
      <xdr:col>44</xdr:col>
      <xdr:colOff>528134</xdr:colOff>
      <xdr:row>104</xdr:row>
      <xdr:rowOff>47392</xdr:rowOff>
    </xdr:to>
    <xdr:graphicFrame macro="">
      <xdr:nvGraphicFramePr>
        <xdr:cNvPr id="23" name="Диаграмма 22">
          <a:extLst>
            <a:ext uri="{FF2B5EF4-FFF2-40B4-BE49-F238E27FC236}">
              <a16:creationId xmlns:a16="http://schemas.microsoft.com/office/drawing/2014/main" xmlns="" id="{7228CBC3-5415-978B-E40D-1A5893867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13939</xdr:colOff>
      <xdr:row>68</xdr:row>
      <xdr:rowOff>293338</xdr:rowOff>
    </xdr:from>
    <xdr:to>
      <xdr:col>13</xdr:col>
      <xdr:colOff>590085</xdr:colOff>
      <xdr:row>80</xdr:row>
      <xdr:rowOff>171294</xdr:rowOff>
    </xdr:to>
    <xdr:graphicFrame macro="">
      <xdr:nvGraphicFramePr>
        <xdr:cNvPr id="25" name="Диаграмма 24">
          <a:extLst>
            <a:ext uri="{FF2B5EF4-FFF2-40B4-BE49-F238E27FC236}">
              <a16:creationId xmlns:a16="http://schemas.microsoft.com/office/drawing/2014/main" xmlns="" id="{681B9FA2-EFF2-8753-EE63-24DCEF05E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648938</xdr:colOff>
      <xdr:row>81</xdr:row>
      <xdr:rowOff>122973</xdr:rowOff>
    </xdr:from>
    <xdr:to>
      <xdr:col>13</xdr:col>
      <xdr:colOff>559109</xdr:colOff>
      <xdr:row>96</xdr:row>
      <xdr:rowOff>78368</xdr:rowOff>
    </xdr:to>
    <xdr:graphicFrame macro="">
      <xdr:nvGraphicFramePr>
        <xdr:cNvPr id="26" name="Диаграмма 25">
          <a:extLst>
            <a:ext uri="{FF2B5EF4-FFF2-40B4-BE49-F238E27FC236}">
              <a16:creationId xmlns:a16="http://schemas.microsoft.com/office/drawing/2014/main" xmlns="" id="{C6B7A697-5D62-8C99-E45C-3BBBA2997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648938</xdr:colOff>
      <xdr:row>97</xdr:row>
      <xdr:rowOff>14560</xdr:rowOff>
    </xdr:from>
    <xdr:to>
      <xdr:col>13</xdr:col>
      <xdr:colOff>559109</xdr:colOff>
      <xdr:row>111</xdr:row>
      <xdr:rowOff>155808</xdr:rowOff>
    </xdr:to>
    <xdr:graphicFrame macro="">
      <xdr:nvGraphicFramePr>
        <xdr:cNvPr id="27" name="Диаграмма 26">
          <a:extLst>
            <a:ext uri="{FF2B5EF4-FFF2-40B4-BE49-F238E27FC236}">
              <a16:creationId xmlns:a16="http://schemas.microsoft.com/office/drawing/2014/main" xmlns="" id="{BC3E1299-8865-2446-93B5-74B6774E7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664427</xdr:colOff>
      <xdr:row>112</xdr:row>
      <xdr:rowOff>153949</xdr:rowOff>
    </xdr:from>
    <xdr:to>
      <xdr:col>13</xdr:col>
      <xdr:colOff>574598</xdr:colOff>
      <xdr:row>127</xdr:row>
      <xdr:rowOff>109344</xdr:rowOff>
    </xdr:to>
    <xdr:graphicFrame macro="">
      <xdr:nvGraphicFramePr>
        <xdr:cNvPr id="28" name="Диаграмма 27">
          <a:extLst>
            <a:ext uri="{FF2B5EF4-FFF2-40B4-BE49-F238E27FC236}">
              <a16:creationId xmlns:a16="http://schemas.microsoft.com/office/drawing/2014/main" xmlns="" id="{B9D0E051-AF3C-68A9-AA08-B281CBF6A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514350</xdr:colOff>
      <xdr:row>0</xdr:row>
      <xdr:rowOff>146050</xdr:rowOff>
    </xdr:from>
    <xdr:to>
      <xdr:col>18</xdr:col>
      <xdr:colOff>468086</xdr:colOff>
      <xdr:row>13</xdr:row>
      <xdr:rowOff>152400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A0BED091-C1A0-4364-B4AD-602DBEBC8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12</xdr:col>
      <xdr:colOff>466565</xdr:colOff>
      <xdr:row>11</xdr:row>
      <xdr:rowOff>180255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C2FBFC73-C2C3-4C50-A6D9-270CD5250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13</xdr:row>
      <xdr:rowOff>0</xdr:rowOff>
    </xdr:from>
    <xdr:to>
      <xdr:col>12</xdr:col>
      <xdr:colOff>466565</xdr:colOff>
      <xdr:row>24</xdr:row>
      <xdr:rowOff>180255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C2FBFC73-C2C3-4C50-A6D9-270CD5250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26</xdr:row>
      <xdr:rowOff>0</xdr:rowOff>
    </xdr:from>
    <xdr:to>
      <xdr:col>12</xdr:col>
      <xdr:colOff>466565</xdr:colOff>
      <xdr:row>37</xdr:row>
      <xdr:rowOff>180255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C2FBFC73-C2C3-4C50-A6D9-270CD5250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28575</xdr:colOff>
      <xdr:row>0</xdr:row>
      <xdr:rowOff>0</xdr:rowOff>
    </xdr:from>
    <xdr:to>
      <xdr:col>26</xdr:col>
      <xdr:colOff>495140</xdr:colOff>
      <xdr:row>11</xdr:row>
      <xdr:rowOff>180255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xmlns="" id="{C2FBFC73-C2C3-4C50-A6D9-270CD5250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28575</xdr:colOff>
      <xdr:row>13</xdr:row>
      <xdr:rowOff>19050</xdr:rowOff>
    </xdr:from>
    <xdr:to>
      <xdr:col>26</xdr:col>
      <xdr:colOff>495140</xdr:colOff>
      <xdr:row>25</xdr:row>
      <xdr:rowOff>8805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xmlns="" id="{C2FBFC73-C2C3-4C50-A6D9-270CD5250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25</xdr:row>
      <xdr:rowOff>114300</xdr:rowOff>
    </xdr:from>
    <xdr:to>
      <xdr:col>26</xdr:col>
      <xdr:colOff>466565</xdr:colOff>
      <xdr:row>37</xdr:row>
      <xdr:rowOff>104055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xmlns="" id="{C2FBFC73-C2C3-4C50-A6D9-270CD5250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8324</xdr:colOff>
      <xdr:row>5</xdr:row>
      <xdr:rowOff>173531</xdr:rowOff>
    </xdr:from>
    <xdr:to>
      <xdr:col>22</xdr:col>
      <xdr:colOff>598714</xdr:colOff>
      <xdr:row>17</xdr:row>
      <xdr:rowOff>163286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xmlns="" id="{C2FBFC73-C2C3-4C50-A6D9-270CD5250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578224</xdr:colOff>
      <xdr:row>22</xdr:row>
      <xdr:rowOff>174172</xdr:rowOff>
    </xdr:from>
    <xdr:to>
      <xdr:col>22</xdr:col>
      <xdr:colOff>598714</xdr:colOff>
      <xdr:row>36</xdr:row>
      <xdr:rowOff>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xmlns="" id="{D2C7BC32-2DC5-4E11-AA6C-1AA3E4B51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605117</xdr:colOff>
      <xdr:row>41</xdr:row>
      <xdr:rowOff>174170</xdr:rowOff>
    </xdr:from>
    <xdr:to>
      <xdr:col>23</xdr:col>
      <xdr:colOff>15240</xdr:colOff>
      <xdr:row>53</xdr:row>
      <xdr:rowOff>175259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xmlns="" id="{6BEE3B93-4AD9-4F6B-B41A-2B2DA59EF3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605118</xdr:colOff>
      <xdr:row>59</xdr:row>
      <xdr:rowOff>167640</xdr:rowOff>
    </xdr:from>
    <xdr:to>
      <xdr:col>23</xdr:col>
      <xdr:colOff>44824</xdr:colOff>
      <xdr:row>71</xdr:row>
      <xdr:rowOff>167640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xmlns="" id="{B8CDB52E-F4C7-4397-8137-5DAD4CEDB7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4481</xdr:colOff>
      <xdr:row>77</xdr:row>
      <xdr:rowOff>161364</xdr:rowOff>
    </xdr:from>
    <xdr:to>
      <xdr:col>23</xdr:col>
      <xdr:colOff>26893</xdr:colOff>
      <xdr:row>90</xdr:row>
      <xdr:rowOff>-1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xmlns="" id="{1991EA98-2E48-421E-A261-902300C1C9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609599</xdr:colOff>
      <xdr:row>96</xdr:row>
      <xdr:rowOff>0</xdr:rowOff>
    </xdr:from>
    <xdr:to>
      <xdr:col>22</xdr:col>
      <xdr:colOff>592311</xdr:colOff>
      <xdr:row>108</xdr:row>
      <xdr:rowOff>0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xmlns="" id="{CDB536BD-B216-4D38-B9E1-73BEB00DD5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598714</xdr:colOff>
      <xdr:row>114</xdr:row>
      <xdr:rowOff>16328</xdr:rowOff>
    </xdr:from>
    <xdr:to>
      <xdr:col>22</xdr:col>
      <xdr:colOff>598714</xdr:colOff>
      <xdr:row>125</xdr:row>
      <xdr:rowOff>170329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xmlns="" id="{BDA39609-6479-4F35-A318-1A3AC92A92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609599</xdr:colOff>
      <xdr:row>132</xdr:row>
      <xdr:rowOff>1</xdr:rowOff>
    </xdr:from>
    <xdr:to>
      <xdr:col>22</xdr:col>
      <xdr:colOff>600634</xdr:colOff>
      <xdr:row>143</xdr:row>
      <xdr:rowOff>170329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xmlns="" id="{4EEE13D5-EB66-4F35-8B4D-A867D3A031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92925</xdr:colOff>
      <xdr:row>75</xdr:row>
      <xdr:rowOff>84252</xdr:rowOff>
    </xdr:from>
    <xdr:to>
      <xdr:col>4</xdr:col>
      <xdr:colOff>495610</xdr:colOff>
      <xdr:row>98</xdr:row>
      <xdr:rowOff>30976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F7DD7103-215E-0FD8-1212-D16452316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68146</xdr:colOff>
      <xdr:row>103</xdr:row>
      <xdr:rowOff>115229</xdr:rowOff>
    </xdr:from>
    <xdr:to>
      <xdr:col>4</xdr:col>
      <xdr:colOff>526584</xdr:colOff>
      <xdr:row>123</xdr:row>
      <xdr:rowOff>170365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44490F7E-8694-6D61-9BDF-86B13B16A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44914</xdr:colOff>
      <xdr:row>130</xdr:row>
      <xdr:rowOff>68765</xdr:rowOff>
    </xdr:from>
    <xdr:to>
      <xdr:col>4</xdr:col>
      <xdr:colOff>573049</xdr:colOff>
      <xdr:row>151</xdr:row>
      <xdr:rowOff>15488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8DE420A0-76D1-A146-8A91-6F34EFB79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60401</xdr:colOff>
      <xdr:row>157</xdr:row>
      <xdr:rowOff>130716</xdr:rowOff>
    </xdr:from>
    <xdr:to>
      <xdr:col>4</xdr:col>
      <xdr:colOff>619511</xdr:colOff>
      <xdr:row>182</xdr:row>
      <xdr:rowOff>123903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xmlns="" id="{6FAD331F-5CCF-E2C8-375B-4D1302770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455083</xdr:colOff>
      <xdr:row>0</xdr:row>
      <xdr:rowOff>108857</xdr:rowOff>
    </xdr:from>
    <xdr:to>
      <xdr:col>18</xdr:col>
      <xdr:colOff>350156</xdr:colOff>
      <xdr:row>12</xdr:row>
      <xdr:rowOff>116417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DDEC53FA-6F82-44BC-9AAF-4DA99B1A3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190500</xdr:colOff>
      <xdr:row>0</xdr:row>
      <xdr:rowOff>179161</xdr:rowOff>
    </xdr:from>
    <xdr:to>
      <xdr:col>27</xdr:col>
      <xdr:colOff>214086</xdr:colOff>
      <xdr:row>12</xdr:row>
      <xdr:rowOff>111125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A2E97669-4A9F-426F-8E5B-1AFAF0DD9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399143</xdr:colOff>
      <xdr:row>13</xdr:row>
      <xdr:rowOff>72572</xdr:rowOff>
    </xdr:from>
    <xdr:to>
      <xdr:col>19</xdr:col>
      <xdr:colOff>96157</xdr:colOff>
      <xdr:row>37</xdr:row>
      <xdr:rowOff>27214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xmlns="" id="{ED0A743F-CC8D-434E-ABCC-43E2337FF6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122464</xdr:colOff>
      <xdr:row>13</xdr:row>
      <xdr:rowOff>15119</xdr:rowOff>
    </xdr:from>
    <xdr:to>
      <xdr:col>27</xdr:col>
      <xdr:colOff>427264</xdr:colOff>
      <xdr:row>36</xdr:row>
      <xdr:rowOff>149678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xmlns="" id="{4E6C1F00-8DB5-4B76-86FB-6CB0F275BD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288636</xdr:colOff>
      <xdr:row>38</xdr:row>
      <xdr:rowOff>57728</xdr:rowOff>
    </xdr:from>
    <xdr:to>
      <xdr:col>19</xdr:col>
      <xdr:colOff>161636</xdr:colOff>
      <xdr:row>54</xdr:row>
      <xdr:rowOff>103909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xmlns="" id="{3E552F8C-48AD-43AD-97F7-BABEBE7D8BEC}"/>
            </a:ext>
            <a:ext uri="{147F2762-F138-4A5C-976F-8EAC2B608ADB}">
              <a16:predDERef xmlns:a16="http://schemas.microsoft.com/office/drawing/2014/main" xmlns="" pred="{4E6C1F00-8DB5-4B76-86FB-6CB0F275BD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48778</xdr:colOff>
      <xdr:row>56</xdr:row>
      <xdr:rowOff>160647</xdr:rowOff>
    </xdr:from>
    <xdr:to>
      <xdr:col>31</xdr:col>
      <xdr:colOff>187324</xdr:colOff>
      <xdr:row>71</xdr:row>
      <xdr:rowOff>153019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xmlns="" id="{392FDFF6-D81D-7DAE-0EB4-86CA2328C57A}"/>
            </a:ext>
            <a:ext uri="{147F2762-F138-4A5C-976F-8EAC2B608ADB}">
              <a16:predDERef xmlns:a16="http://schemas.microsoft.com/office/drawing/2014/main" xmlns="" pred="{3E552F8C-48AD-43AD-97F7-BABEBE7D8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571500</xdr:colOff>
      <xdr:row>1</xdr:row>
      <xdr:rowOff>165100</xdr:rowOff>
    </xdr:from>
    <xdr:to>
      <xdr:col>38</xdr:col>
      <xdr:colOff>100446</xdr:colOff>
      <xdr:row>17</xdr:row>
      <xdr:rowOff>68119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xmlns="" id="{B6811F8D-6F7C-4944-A4B7-BE9B70804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371929</xdr:colOff>
      <xdr:row>38</xdr:row>
      <xdr:rowOff>27215</xdr:rowOff>
    </xdr:from>
    <xdr:to>
      <xdr:col>28</xdr:col>
      <xdr:colOff>244929</xdr:colOff>
      <xdr:row>54</xdr:row>
      <xdr:rowOff>73396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xmlns="" id="{95C183A0-058E-4964-8D81-0D64C1B60D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485775</xdr:colOff>
      <xdr:row>57</xdr:row>
      <xdr:rowOff>152400</xdr:rowOff>
    </xdr:from>
    <xdr:to>
      <xdr:col>19</xdr:col>
      <xdr:colOff>358775</xdr:colOff>
      <xdr:row>71</xdr:row>
      <xdr:rowOff>503381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xmlns="" id="{72C9A737-C267-4792-B123-3223E869D853}"/>
            </a:ext>
            <a:ext uri="{147F2762-F138-4A5C-976F-8EAC2B608ADB}">
              <a16:predDERef xmlns:a16="http://schemas.microsoft.com/office/drawing/2014/main" xmlns="" pred="{95C183A0-058E-4964-8D81-0D64C1B60D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180975</xdr:colOff>
      <xdr:row>72</xdr:row>
      <xdr:rowOff>228600</xdr:rowOff>
    </xdr:from>
    <xdr:to>
      <xdr:col>20</xdr:col>
      <xdr:colOff>485775</xdr:colOff>
      <xdr:row>84</xdr:row>
      <xdr:rowOff>66675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B569D397-C91B-353D-1390-BEA3824BCFFD}"/>
            </a:ext>
            <a:ext uri="{147F2762-F138-4A5C-976F-8EAC2B608ADB}">
              <a16:predDERef xmlns:a16="http://schemas.microsoft.com/office/drawing/2014/main" xmlns="" pred="{72C9A737-C267-4792-B123-3223E869D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FinUstoic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tap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нализ финансовой устойчивости "/>
    </sheetNames>
    <sheetDataSet>
      <sheetData sheetId="0">
        <row r="9">
          <cell r="D9">
            <v>2017</v>
          </cell>
          <cell r="E9">
            <v>2018</v>
          </cell>
          <cell r="F9">
            <v>2019</v>
          </cell>
          <cell r="G9">
            <v>2020</v>
          </cell>
          <cell r="H9">
            <v>2021</v>
          </cell>
        </row>
        <row r="10">
          <cell r="D10">
            <v>0.19052869779880682</v>
          </cell>
          <cell r="E10">
            <v>0.10992033184554048</v>
          </cell>
          <cell r="F10">
            <v>9.1889093550859766E-2</v>
          </cell>
          <cell r="G10">
            <v>8.479622085988546E-2</v>
          </cell>
          <cell r="H10">
            <v>5.2353328581868044E-2</v>
          </cell>
        </row>
        <row r="27">
          <cell r="D27">
            <v>2017</v>
          </cell>
          <cell r="E27">
            <v>2018</v>
          </cell>
          <cell r="F27">
            <v>2019</v>
          </cell>
          <cell r="G27">
            <v>2020</v>
          </cell>
          <cell r="H27">
            <v>2021</v>
          </cell>
        </row>
        <row r="28">
          <cell r="D28">
            <v>0.19059452787492284</v>
          </cell>
          <cell r="E28">
            <v>0.44859056734656699</v>
          </cell>
          <cell r="F28">
            <v>0.64860651892868992</v>
          </cell>
          <cell r="G28">
            <v>0.60439773735581193</v>
          </cell>
          <cell r="H28">
            <v>0.49560639823895059</v>
          </cell>
        </row>
        <row r="45">
          <cell r="D45">
            <v>2017</v>
          </cell>
          <cell r="E45">
            <v>2018</v>
          </cell>
          <cell r="F45">
            <v>2019</v>
          </cell>
          <cell r="G45">
            <v>2020</v>
          </cell>
          <cell r="H45">
            <v>2021</v>
          </cell>
        </row>
        <row r="46">
          <cell r="D46">
            <v>0.80947130220119312</v>
          </cell>
          <cell r="E46">
            <v>0.89007966815445949</v>
          </cell>
          <cell r="F46">
            <v>0.90811090644914028</v>
          </cell>
          <cell r="G46">
            <v>0.91520377914011453</v>
          </cell>
          <cell r="H46">
            <v>0.94764667141813197</v>
          </cell>
        </row>
        <row r="63">
          <cell r="D63">
            <v>2017</v>
          </cell>
          <cell r="E63">
            <v>2018</v>
          </cell>
          <cell r="F63">
            <v>2019</v>
          </cell>
          <cell r="G63">
            <v>2020</v>
          </cell>
          <cell r="H63">
            <v>2021</v>
          </cell>
        </row>
        <row r="64">
          <cell r="D64">
            <v>-5.2012016921787821E-3</v>
          </cell>
          <cell r="E64">
            <v>-0.35894583130519436</v>
          </cell>
          <cell r="F64">
            <v>-0.66303157916791067</v>
          </cell>
          <cell r="G64">
            <v>-0.58429515851024372</v>
          </cell>
          <cell r="H64">
            <v>-0.60978992578629365</v>
          </cell>
        </row>
        <row r="81">
          <cell r="D81">
            <v>2017</v>
          </cell>
          <cell r="E81">
            <v>2018</v>
          </cell>
          <cell r="F81">
            <v>2019</v>
          </cell>
          <cell r="G81">
            <v>2020</v>
          </cell>
          <cell r="H81">
            <v>2021</v>
          </cell>
        </row>
        <row r="82">
          <cell r="D82">
            <v>4.248553165759696</v>
          </cell>
          <cell r="E82">
            <v>8.0974980079681274</v>
          </cell>
          <cell r="F82">
            <v>9.8826843464998291</v>
          </cell>
          <cell r="G82">
            <v>10.792978388180385</v>
          </cell>
          <cell r="H82">
            <v>18.100982250560055</v>
          </cell>
        </row>
        <row r="99">
          <cell r="D99">
            <v>2017</v>
          </cell>
          <cell r="E99">
            <v>2018</v>
          </cell>
          <cell r="F99">
            <v>2019</v>
          </cell>
          <cell r="G99">
            <v>2020</v>
          </cell>
          <cell r="H99">
            <v>2021</v>
          </cell>
        </row>
        <row r="100">
          <cell r="D100">
            <v>0.23537424647507904</v>
          </cell>
          <cell r="E100">
            <v>0.12349493621560347</v>
          </cell>
          <cell r="F100">
            <v>0.10118708287532953</v>
          </cell>
          <cell r="G100">
            <v>9.2652830760332178E-2</v>
          </cell>
          <cell r="H100">
            <v>5.5245620715917744E-2</v>
          </cell>
        </row>
        <row r="117">
          <cell r="D117">
            <v>2017</v>
          </cell>
          <cell r="E117">
            <v>2018</v>
          </cell>
          <cell r="F117">
            <v>2019</v>
          </cell>
          <cell r="G117">
            <v>2020</v>
          </cell>
          <cell r="H117">
            <v>2021</v>
          </cell>
        </row>
        <row r="118">
          <cell r="D118">
            <v>1.7272648760687453E-4</v>
          </cell>
          <cell r="E118">
            <v>0.60638070983201398</v>
          </cell>
          <cell r="F118">
            <v>0.75181731801713414</v>
          </cell>
          <cell r="G118">
            <v>0.7539263951778673</v>
          </cell>
          <cell r="H118">
            <v>0.80891541469438155</v>
          </cell>
        </row>
        <row r="135">
          <cell r="D135">
            <v>2017</v>
          </cell>
          <cell r="E135">
            <v>2018</v>
          </cell>
          <cell r="F135">
            <v>2019</v>
          </cell>
          <cell r="G135">
            <v>2020</v>
          </cell>
          <cell r="H135">
            <v>2021</v>
          </cell>
        </row>
        <row r="136">
          <cell r="D136">
            <v>-2.1810486309061069E-2</v>
          </cell>
          <cell r="E136">
            <v>-0.59831075697211156</v>
          </cell>
          <cell r="F136">
            <v>-0.9108226725184424</v>
          </cell>
          <cell r="G136">
            <v>-0.91667409851660275</v>
          </cell>
          <cell r="H136">
            <v>-2.6233844563156987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ФП и ОПУ"/>
      <sheetName val="Коэффициенты"/>
      <sheetName val="Анализ финансовой устойчивости"/>
      <sheetName val="Горизонтальный анализ"/>
      <sheetName val="Прибыльность и рентабельность"/>
      <sheetName val="Вертикальный анализ"/>
    </sheetNames>
    <sheetDataSet>
      <sheetData sheetId="0"/>
      <sheetData sheetId="1"/>
      <sheetData sheetId="2"/>
      <sheetData sheetId="3"/>
      <sheetData sheetId="4">
        <row r="4">
          <cell r="O4">
            <v>2017</v>
          </cell>
          <cell r="P4">
            <v>2018</v>
          </cell>
          <cell r="Q4">
            <v>2019</v>
          </cell>
          <cell r="R4">
            <v>2020</v>
          </cell>
          <cell r="S4">
            <v>2021</v>
          </cell>
        </row>
        <row r="5">
          <cell r="O5">
            <v>0.69</v>
          </cell>
          <cell r="P5">
            <v>12</v>
          </cell>
          <cell r="Q5">
            <v>9</v>
          </cell>
          <cell r="R5">
            <v>6</v>
          </cell>
          <cell r="S5">
            <v>16</v>
          </cell>
        </row>
        <row r="8">
          <cell r="O8">
            <v>2017</v>
          </cell>
          <cell r="P8">
            <v>2018</v>
          </cell>
          <cell r="Q8">
            <v>2019</v>
          </cell>
          <cell r="R8">
            <v>2020</v>
          </cell>
          <cell r="S8">
            <v>2021</v>
          </cell>
        </row>
        <row r="9">
          <cell r="O9">
            <v>29</v>
          </cell>
          <cell r="P9">
            <v>18</v>
          </cell>
          <cell r="Q9">
            <v>15</v>
          </cell>
          <cell r="R9">
            <v>10</v>
          </cell>
          <cell r="S9">
            <v>28</v>
          </cell>
        </row>
        <row r="12">
          <cell r="O12">
            <v>2017</v>
          </cell>
          <cell r="P12">
            <v>2018</v>
          </cell>
          <cell r="Q12">
            <v>2019</v>
          </cell>
          <cell r="R12">
            <v>2020</v>
          </cell>
          <cell r="S12">
            <v>2021</v>
          </cell>
        </row>
        <row r="13">
          <cell r="O13">
            <v>28</v>
          </cell>
          <cell r="P13">
            <v>25</v>
          </cell>
          <cell r="Q13">
            <v>20</v>
          </cell>
          <cell r="R13">
            <v>42</v>
          </cell>
          <cell r="S13">
            <v>27</v>
          </cell>
        </row>
        <row r="18">
          <cell r="A18">
            <v>2017</v>
          </cell>
          <cell r="B18">
            <v>2018</v>
          </cell>
          <cell r="C18">
            <v>2019</v>
          </cell>
          <cell r="D18">
            <v>2020</v>
          </cell>
          <cell r="E18">
            <v>2021</v>
          </cell>
        </row>
        <row r="19">
          <cell r="A19">
            <v>30.033687483804094</v>
          </cell>
          <cell r="B19">
            <v>26.661354581673308</v>
          </cell>
          <cell r="C19">
            <v>22.205621439910356</v>
          </cell>
          <cell r="D19">
            <v>19.444692172775646</v>
          </cell>
          <cell r="E19">
            <v>10.253317249698432</v>
          </cell>
        </row>
        <row r="22">
          <cell r="A22">
            <v>2017</v>
          </cell>
          <cell r="B22">
            <v>2018</v>
          </cell>
          <cell r="C22">
            <v>2019</v>
          </cell>
          <cell r="D22">
            <v>2020</v>
          </cell>
          <cell r="E22">
            <v>2021</v>
          </cell>
        </row>
        <row r="23">
          <cell r="A23">
            <v>8.0733944954128454</v>
          </cell>
          <cell r="B23">
            <v>18.75</v>
          </cell>
          <cell r="C23">
            <v>17.441860465116278</v>
          </cell>
          <cell r="D23">
            <v>15.441176470588236</v>
          </cell>
          <cell r="E23">
            <v>15.178571428571427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8"/>
  <sheetViews>
    <sheetView zoomScale="82" zoomScaleNormal="50" workbookViewId="0">
      <selection activeCell="U118" sqref="U118"/>
    </sheetView>
  </sheetViews>
  <sheetFormatPr defaultColWidth="8.85546875" defaultRowHeight="15" x14ac:dyDescent="0.25"/>
  <cols>
    <col min="1" max="1" width="45.42578125" customWidth="1"/>
    <col min="2" max="2" width="12.5703125" customWidth="1"/>
    <col min="3" max="3" width="14.140625" customWidth="1"/>
    <col min="4" max="4" width="13.42578125" customWidth="1"/>
    <col min="5" max="5" width="14.140625" customWidth="1"/>
    <col min="6" max="6" width="14" customWidth="1"/>
    <col min="18" max="18" width="8.85546875" customWidth="1"/>
  </cols>
  <sheetData>
    <row r="1" spans="1:6" ht="17.100000000000001" customHeight="1" x14ac:dyDescent="0.3">
      <c r="A1" s="98" t="s">
        <v>0</v>
      </c>
      <c r="B1" s="98"/>
      <c r="C1" s="98"/>
      <c r="D1" s="98"/>
      <c r="E1" s="98"/>
      <c r="F1" s="98"/>
    </row>
    <row r="2" spans="1:6" ht="30" x14ac:dyDescent="0.25">
      <c r="A2" s="9"/>
      <c r="B2" s="28" t="s">
        <v>1</v>
      </c>
      <c r="C2" s="29" t="s">
        <v>2</v>
      </c>
      <c r="D2" s="29" t="s">
        <v>3</v>
      </c>
      <c r="E2" s="29" t="s">
        <v>4</v>
      </c>
      <c r="F2" s="29" t="s">
        <v>5</v>
      </c>
    </row>
    <row r="3" spans="1:6" x14ac:dyDescent="0.25">
      <c r="A3" s="14" t="s">
        <v>6</v>
      </c>
      <c r="B3" s="7"/>
      <c r="C3" s="6"/>
      <c r="D3" s="6"/>
      <c r="E3" s="6"/>
      <c r="F3" s="6"/>
    </row>
    <row r="4" spans="1:6" x14ac:dyDescent="0.25">
      <c r="A4" s="3" t="s">
        <v>7</v>
      </c>
      <c r="B4" s="8"/>
      <c r="C4" s="5"/>
      <c r="D4" s="5"/>
      <c r="E4" s="5"/>
      <c r="F4" s="5"/>
    </row>
    <row r="5" spans="1:6" x14ac:dyDescent="0.25">
      <c r="A5" s="2" t="s">
        <v>8</v>
      </c>
      <c r="B5" s="7">
        <v>7936</v>
      </c>
      <c r="C5" s="6">
        <v>20734</v>
      </c>
      <c r="D5" s="6">
        <v>19777</v>
      </c>
      <c r="E5" s="6">
        <v>17025</v>
      </c>
      <c r="F5" s="6">
        <v>17675</v>
      </c>
    </row>
    <row r="6" spans="1:6" x14ac:dyDescent="0.25">
      <c r="A6" s="2" t="s">
        <v>9</v>
      </c>
      <c r="B6" s="24" t="s">
        <v>10</v>
      </c>
      <c r="C6" s="6">
        <v>575</v>
      </c>
      <c r="D6" s="6">
        <v>349</v>
      </c>
      <c r="E6" s="6">
        <v>211</v>
      </c>
      <c r="F6" s="6">
        <v>194</v>
      </c>
    </row>
    <row r="7" spans="1:6" x14ac:dyDescent="0.25">
      <c r="A7" s="2" t="s">
        <v>11</v>
      </c>
      <c r="B7" s="7">
        <v>7999</v>
      </c>
      <c r="C7" s="6">
        <v>68767</v>
      </c>
      <c r="D7" s="6">
        <v>20063</v>
      </c>
      <c r="E7" s="6">
        <v>21870</v>
      </c>
      <c r="F7" s="6">
        <v>27830</v>
      </c>
    </row>
    <row r="8" spans="1:6" x14ac:dyDescent="0.25">
      <c r="A8" s="2" t="s">
        <v>12</v>
      </c>
      <c r="B8" s="24" t="s">
        <v>10</v>
      </c>
      <c r="C8" s="22" t="s">
        <v>10</v>
      </c>
      <c r="D8" s="6">
        <v>48975</v>
      </c>
      <c r="E8" s="6">
        <v>48975</v>
      </c>
      <c r="F8" s="6">
        <v>50007</v>
      </c>
    </row>
    <row r="9" spans="1:6" x14ac:dyDescent="0.25">
      <c r="A9" s="2" t="s">
        <v>13</v>
      </c>
      <c r="B9" s="24" t="s">
        <v>10</v>
      </c>
      <c r="C9" s="22" t="s">
        <v>10</v>
      </c>
      <c r="D9" s="6">
        <v>62832</v>
      </c>
      <c r="E9" s="6">
        <v>71593</v>
      </c>
      <c r="F9" s="6">
        <v>74075</v>
      </c>
    </row>
    <row r="10" spans="1:6" ht="30" x14ac:dyDescent="0.25">
      <c r="A10" s="4" t="s">
        <v>14</v>
      </c>
      <c r="B10" s="24" t="s">
        <v>10</v>
      </c>
      <c r="C10" s="22" t="s">
        <v>10</v>
      </c>
      <c r="D10" s="6">
        <v>1982</v>
      </c>
      <c r="E10" s="6">
        <v>1244</v>
      </c>
      <c r="F10" s="6">
        <v>15</v>
      </c>
    </row>
    <row r="11" spans="1:6" x14ac:dyDescent="0.25">
      <c r="A11" s="2" t="s">
        <v>15</v>
      </c>
      <c r="B11" s="7">
        <v>2471</v>
      </c>
      <c r="C11" s="22" t="s">
        <v>10</v>
      </c>
      <c r="D11" s="22" t="s">
        <v>10</v>
      </c>
      <c r="E11" s="20" t="s">
        <v>10</v>
      </c>
      <c r="F11" s="6">
        <v>5575</v>
      </c>
    </row>
    <row r="12" spans="1:6" x14ac:dyDescent="0.25">
      <c r="A12" s="2" t="s">
        <v>16</v>
      </c>
      <c r="B12" s="7">
        <v>4264</v>
      </c>
      <c r="C12" s="6">
        <v>5759</v>
      </c>
      <c r="D12" s="6">
        <v>3302</v>
      </c>
      <c r="E12" s="6">
        <v>5714</v>
      </c>
      <c r="F12" s="6">
        <v>5366</v>
      </c>
    </row>
    <row r="13" spans="1:6" x14ac:dyDescent="0.25">
      <c r="A13" s="2" t="s">
        <v>17</v>
      </c>
      <c r="B13" s="7">
        <v>993</v>
      </c>
      <c r="C13" s="6">
        <v>2646</v>
      </c>
      <c r="D13" s="6">
        <v>1431</v>
      </c>
      <c r="E13" s="6">
        <v>907</v>
      </c>
      <c r="F13" s="6">
        <v>1632</v>
      </c>
    </row>
    <row r="14" spans="1:6" x14ac:dyDescent="0.25">
      <c r="A14" s="15" t="s">
        <v>18</v>
      </c>
      <c r="B14" s="16">
        <f t="shared" ref="B14:C14" si="0">SUM(B5:B13)</f>
        <v>23663</v>
      </c>
      <c r="C14" s="16">
        <f t="shared" si="0"/>
        <v>98481</v>
      </c>
      <c r="D14" s="16">
        <f>SUM(D5:D13)</f>
        <v>158711</v>
      </c>
      <c r="E14" s="16">
        <f>SUM(E5:E13)</f>
        <v>167539</v>
      </c>
      <c r="F14" s="16">
        <f>SUM(F5:F13)</f>
        <v>182369</v>
      </c>
    </row>
    <row r="15" spans="1:6" x14ac:dyDescent="0.25">
      <c r="A15" s="5" t="s">
        <v>19</v>
      </c>
      <c r="B15" s="8"/>
      <c r="C15" s="5"/>
      <c r="D15" s="5"/>
      <c r="F15" s="5"/>
    </row>
    <row r="16" spans="1:6" x14ac:dyDescent="0.25">
      <c r="A16" s="2" t="s">
        <v>20</v>
      </c>
      <c r="B16" s="21">
        <v>52283</v>
      </c>
      <c r="C16" s="19">
        <v>113145</v>
      </c>
      <c r="D16" s="19">
        <v>129115</v>
      </c>
      <c r="E16" s="19">
        <v>146994</v>
      </c>
      <c r="F16" s="6">
        <v>163840</v>
      </c>
    </row>
    <row r="17" spans="1:6" x14ac:dyDescent="0.25">
      <c r="A17" s="2" t="s">
        <v>21</v>
      </c>
      <c r="B17" s="7">
        <v>20834</v>
      </c>
      <c r="C17" s="6">
        <v>29631</v>
      </c>
      <c r="D17" s="6">
        <v>34136</v>
      </c>
      <c r="E17" s="6">
        <v>46224</v>
      </c>
      <c r="F17" s="6">
        <v>46865</v>
      </c>
    </row>
    <row r="18" spans="1:6" x14ac:dyDescent="0.25">
      <c r="A18" s="2" t="s">
        <v>22</v>
      </c>
      <c r="B18" s="7">
        <v>777</v>
      </c>
      <c r="C18" s="6">
        <v>1826</v>
      </c>
      <c r="D18" s="6">
        <v>1181</v>
      </c>
      <c r="E18" s="6">
        <v>1761</v>
      </c>
      <c r="F18" s="6">
        <v>1622</v>
      </c>
    </row>
    <row r="19" spans="1:6" x14ac:dyDescent="0.25">
      <c r="A19" s="2" t="s">
        <v>23</v>
      </c>
      <c r="B19" s="7">
        <v>16</v>
      </c>
      <c r="C19" s="6">
        <v>33</v>
      </c>
      <c r="D19" s="6">
        <v>84</v>
      </c>
      <c r="E19" s="6">
        <v>100</v>
      </c>
      <c r="F19" s="6">
        <v>2637</v>
      </c>
    </row>
    <row r="20" spans="1:6" x14ac:dyDescent="0.25">
      <c r="A20" s="2" t="s">
        <v>24</v>
      </c>
      <c r="B20" s="7">
        <v>6154</v>
      </c>
      <c r="C20" s="6">
        <v>16112</v>
      </c>
      <c r="D20" s="6">
        <v>21316</v>
      </c>
      <c r="E20" s="6">
        <v>25352</v>
      </c>
      <c r="F20" s="6">
        <v>33910</v>
      </c>
    </row>
    <row r="21" spans="1:6" x14ac:dyDescent="0.25">
      <c r="A21" s="2" t="s">
        <v>25</v>
      </c>
      <c r="B21" s="7">
        <v>7</v>
      </c>
      <c r="C21" s="6">
        <v>43</v>
      </c>
      <c r="D21" s="6">
        <v>44</v>
      </c>
      <c r="E21" s="6">
        <v>60</v>
      </c>
      <c r="F21" s="6">
        <v>68</v>
      </c>
    </row>
    <row r="22" spans="1:6" x14ac:dyDescent="0.25">
      <c r="A22" s="2" t="s">
        <v>26</v>
      </c>
      <c r="B22" s="7">
        <v>17791</v>
      </c>
      <c r="C22" s="6">
        <v>25669</v>
      </c>
      <c r="D22" s="6">
        <v>4738</v>
      </c>
      <c r="E22" s="6">
        <v>7445</v>
      </c>
      <c r="F22" s="6">
        <v>12053</v>
      </c>
    </row>
    <row r="23" spans="1:6" x14ac:dyDescent="0.25">
      <c r="A23" s="2" t="s">
        <v>27</v>
      </c>
      <c r="B23" s="24" t="s">
        <v>10</v>
      </c>
      <c r="C23" s="6">
        <v>494</v>
      </c>
      <c r="D23" s="6">
        <v>303</v>
      </c>
      <c r="E23" s="6">
        <v>1229</v>
      </c>
      <c r="F23" s="6">
        <v>8</v>
      </c>
    </row>
    <row r="24" spans="1:6" x14ac:dyDescent="0.25">
      <c r="A24" s="15" t="s">
        <v>28</v>
      </c>
      <c r="B24" s="16">
        <f t="shared" ref="B24:C24" si="1">SUM(B16:B23)</f>
        <v>97862</v>
      </c>
      <c r="C24" s="16">
        <f t="shared" si="1"/>
        <v>186953</v>
      </c>
      <c r="D24" s="16">
        <f>SUM(D16:D23)</f>
        <v>190917</v>
      </c>
      <c r="E24" s="16">
        <f>SUM(E16:E23)</f>
        <v>229165</v>
      </c>
      <c r="F24" s="16">
        <f>SUM(F16:F23)</f>
        <v>261003</v>
      </c>
    </row>
    <row r="25" spans="1:6" x14ac:dyDescent="0.25">
      <c r="A25" s="14" t="s">
        <v>29</v>
      </c>
      <c r="B25" s="5">
        <f t="shared" ref="B25:C25" si="2">B14+B24</f>
        <v>121525</v>
      </c>
      <c r="C25" s="5">
        <f t="shared" si="2"/>
        <v>285434</v>
      </c>
      <c r="D25" s="5">
        <f>D14+D24</f>
        <v>349628</v>
      </c>
      <c r="E25" s="5">
        <f>E14+E24</f>
        <v>396704</v>
      </c>
      <c r="F25" s="5">
        <f>F14+F24</f>
        <v>443372</v>
      </c>
    </row>
    <row r="27" spans="1:6" x14ac:dyDescent="0.25">
      <c r="A27" s="14" t="s">
        <v>30</v>
      </c>
      <c r="B27" s="5"/>
      <c r="C27" s="5"/>
      <c r="D27" s="5"/>
      <c r="E27" s="5"/>
      <c r="F27" s="5"/>
    </row>
    <row r="28" spans="1:6" x14ac:dyDescent="0.25">
      <c r="A28" s="2" t="s">
        <v>31</v>
      </c>
      <c r="B28" s="6">
        <v>1798</v>
      </c>
      <c r="C28" s="6">
        <v>1798</v>
      </c>
      <c r="D28" s="6">
        <v>1798</v>
      </c>
      <c r="E28" s="6">
        <v>1798</v>
      </c>
      <c r="F28" s="6">
        <v>1798</v>
      </c>
    </row>
    <row r="29" spans="1:6" x14ac:dyDescent="0.25">
      <c r="A29" s="2" t="s">
        <v>32</v>
      </c>
      <c r="B29" s="6">
        <v>4576</v>
      </c>
      <c r="C29" s="6">
        <v>4576</v>
      </c>
      <c r="D29" s="6">
        <v>4576</v>
      </c>
      <c r="E29" s="6">
        <v>4576</v>
      </c>
      <c r="F29" s="6">
        <v>4576</v>
      </c>
    </row>
    <row r="30" spans="1:6" x14ac:dyDescent="0.25">
      <c r="A30" s="2" t="s">
        <v>33</v>
      </c>
      <c r="B30" s="6">
        <v>-52</v>
      </c>
      <c r="C30" s="6">
        <v>-749</v>
      </c>
      <c r="D30" s="6">
        <v>-749</v>
      </c>
      <c r="E30" s="6">
        <v>-749</v>
      </c>
      <c r="F30" s="6">
        <v>-557</v>
      </c>
    </row>
    <row r="31" spans="1:6" x14ac:dyDescent="0.25">
      <c r="A31" s="2" t="s">
        <v>34</v>
      </c>
      <c r="B31" s="6">
        <v>16602</v>
      </c>
      <c r="C31" s="6">
        <v>25240</v>
      </c>
      <c r="D31" s="6">
        <v>26502</v>
      </c>
      <c r="E31" s="6">
        <v>28014</v>
      </c>
      <c r="F31" s="6">
        <v>17395</v>
      </c>
    </row>
    <row r="32" spans="1:6" x14ac:dyDescent="0.25">
      <c r="A32" s="2" t="s">
        <v>35</v>
      </c>
      <c r="B32" s="6">
        <v>230</v>
      </c>
      <c r="C32" s="6">
        <v>510</v>
      </c>
      <c r="D32" s="22" t="s">
        <v>10</v>
      </c>
      <c r="E32" s="22" t="s">
        <v>10</v>
      </c>
      <c r="F32" s="22" t="s">
        <v>10</v>
      </c>
    </row>
    <row r="33" spans="1:6" x14ac:dyDescent="0.25">
      <c r="A33" s="15" t="s">
        <v>36</v>
      </c>
      <c r="B33" s="16">
        <f>SUM(B28:B32)</f>
        <v>23154</v>
      </c>
      <c r="C33" s="16">
        <f>SUM(C28:C32)</f>
        <v>31375</v>
      </c>
      <c r="D33" s="16">
        <f t="shared" ref="D33:F33" si="3">SUM(D28:D32)</f>
        <v>32127</v>
      </c>
      <c r="E33" s="16">
        <f t="shared" si="3"/>
        <v>33639</v>
      </c>
      <c r="F33" s="16">
        <f t="shared" si="3"/>
        <v>23212</v>
      </c>
    </row>
    <row r="34" spans="1:6" x14ac:dyDescent="0.25">
      <c r="A34" s="14" t="s">
        <v>37</v>
      </c>
      <c r="B34" s="5"/>
      <c r="C34" s="5"/>
      <c r="D34" s="5"/>
      <c r="E34" s="5"/>
      <c r="F34" s="5"/>
    </row>
    <row r="35" spans="1:6" x14ac:dyDescent="0.25">
      <c r="A35" s="2" t="s">
        <v>38</v>
      </c>
      <c r="B35" s="22" t="s">
        <v>10</v>
      </c>
      <c r="C35" s="6">
        <v>45720</v>
      </c>
      <c r="D35" s="6">
        <v>38752</v>
      </c>
      <c r="E35" s="6">
        <v>31733</v>
      </c>
      <c r="F35" s="6">
        <v>28964</v>
      </c>
    </row>
    <row r="36" spans="1:6" x14ac:dyDescent="0.25">
      <c r="A36" s="2" t="s">
        <v>39</v>
      </c>
      <c r="B36" s="23" t="s">
        <v>10</v>
      </c>
      <c r="C36" s="23" t="s">
        <v>10</v>
      </c>
      <c r="D36" s="19">
        <v>57927</v>
      </c>
      <c r="E36" s="19">
        <v>70702</v>
      </c>
      <c r="F36" s="19">
        <v>68628</v>
      </c>
    </row>
    <row r="37" spans="1:6" x14ac:dyDescent="0.25">
      <c r="A37" s="2" t="s">
        <v>40</v>
      </c>
      <c r="B37" s="22" t="s">
        <v>10</v>
      </c>
      <c r="C37" s="6">
        <v>1785</v>
      </c>
      <c r="D37" s="6">
        <v>270</v>
      </c>
      <c r="E37" s="6">
        <v>175</v>
      </c>
      <c r="F37" s="6">
        <v>94</v>
      </c>
    </row>
    <row r="38" spans="1:6" x14ac:dyDescent="0.25">
      <c r="A38" s="2" t="s">
        <v>41</v>
      </c>
      <c r="B38" s="22" t="s">
        <v>10</v>
      </c>
      <c r="C38" s="6">
        <v>573</v>
      </c>
      <c r="D38" s="6">
        <v>373</v>
      </c>
      <c r="E38" s="6">
        <v>454</v>
      </c>
      <c r="F38" s="6">
        <v>577</v>
      </c>
    </row>
    <row r="39" spans="1:6" x14ac:dyDescent="0.25">
      <c r="A39" s="2" t="s">
        <v>42</v>
      </c>
      <c r="B39" s="6">
        <v>4</v>
      </c>
      <c r="C39" s="6">
        <v>256</v>
      </c>
      <c r="D39" s="22" t="s">
        <v>10</v>
      </c>
      <c r="E39" s="22" t="s">
        <v>10</v>
      </c>
      <c r="F39" s="22" t="s">
        <v>10</v>
      </c>
    </row>
    <row r="40" spans="1:6" x14ac:dyDescent="0.25">
      <c r="A40" s="15" t="s">
        <v>43</v>
      </c>
      <c r="B40" s="16">
        <f>SUM(B35:B39)</f>
        <v>4</v>
      </c>
      <c r="C40" s="16">
        <f>SUM(C35:C39)</f>
        <v>48334</v>
      </c>
      <c r="D40" s="16">
        <f t="shared" ref="D40:F40" si="4">SUM(D35:D39)</f>
        <v>97322</v>
      </c>
      <c r="E40" s="16">
        <f t="shared" si="4"/>
        <v>103064</v>
      </c>
      <c r="F40" s="16">
        <f t="shared" si="4"/>
        <v>98263</v>
      </c>
    </row>
    <row r="41" spans="1:6" x14ac:dyDescent="0.25">
      <c r="A41" s="14" t="s">
        <v>44</v>
      </c>
      <c r="B41" s="5"/>
      <c r="C41" s="5"/>
      <c r="D41" s="5"/>
      <c r="E41" s="5"/>
      <c r="F41" s="5"/>
    </row>
    <row r="42" spans="1:6" x14ac:dyDescent="0.25">
      <c r="A42" s="2" t="s">
        <v>45</v>
      </c>
      <c r="B42" s="6">
        <v>77698</v>
      </c>
      <c r="C42" s="6">
        <v>155420</v>
      </c>
      <c r="D42" s="6">
        <v>176065</v>
      </c>
      <c r="E42" s="6">
        <v>207862</v>
      </c>
      <c r="F42" s="6">
        <v>237324</v>
      </c>
    </row>
    <row r="43" spans="1:6" ht="30" x14ac:dyDescent="0.25">
      <c r="A43" s="4" t="s">
        <v>46</v>
      </c>
      <c r="B43" s="6">
        <v>8708</v>
      </c>
      <c r="C43" s="6">
        <v>22435</v>
      </c>
      <c r="D43" s="6">
        <v>12975</v>
      </c>
      <c r="E43" s="6">
        <v>14346</v>
      </c>
      <c r="F43" s="6">
        <v>18003</v>
      </c>
    </row>
    <row r="44" spans="1:6" x14ac:dyDescent="0.25">
      <c r="A44" s="4" t="s">
        <v>47</v>
      </c>
      <c r="B44" s="6">
        <v>8579</v>
      </c>
      <c r="C44" s="6">
        <v>6940</v>
      </c>
      <c r="D44" s="6">
        <v>8112</v>
      </c>
      <c r="E44" s="6">
        <v>6604</v>
      </c>
      <c r="F44" s="6">
        <v>7998</v>
      </c>
    </row>
    <row r="45" spans="1:6" x14ac:dyDescent="0.25">
      <c r="A45" s="2" t="s">
        <v>39</v>
      </c>
      <c r="B45" s="22" t="s">
        <v>10</v>
      </c>
      <c r="C45" s="22" t="s">
        <v>10</v>
      </c>
      <c r="D45" s="6">
        <v>10532</v>
      </c>
      <c r="E45" s="6">
        <v>10051</v>
      </c>
      <c r="F45" s="6">
        <v>15797</v>
      </c>
    </row>
    <row r="46" spans="1:6" x14ac:dyDescent="0.25">
      <c r="A46" s="2" t="s">
        <v>38</v>
      </c>
      <c r="B46" s="6">
        <v>780</v>
      </c>
      <c r="C46" s="6">
        <v>13789</v>
      </c>
      <c r="D46" s="6">
        <v>10658</v>
      </c>
      <c r="E46" s="6">
        <v>16195</v>
      </c>
      <c r="F46" s="6">
        <v>40174</v>
      </c>
    </row>
    <row r="47" spans="1:6" x14ac:dyDescent="0.25">
      <c r="A47" s="2" t="s">
        <v>48</v>
      </c>
      <c r="B47" s="6">
        <v>531</v>
      </c>
      <c r="C47" s="6">
        <v>1397</v>
      </c>
      <c r="D47" s="6">
        <v>9</v>
      </c>
      <c r="E47" s="6">
        <v>1643</v>
      </c>
      <c r="F47" s="6">
        <v>9</v>
      </c>
    </row>
    <row r="48" spans="1:6" x14ac:dyDescent="0.25">
      <c r="A48" s="2" t="s">
        <v>49</v>
      </c>
      <c r="B48" s="6">
        <v>1627</v>
      </c>
      <c r="C48" s="6">
        <v>2782</v>
      </c>
      <c r="D48" s="6">
        <v>1460</v>
      </c>
      <c r="E48" s="6">
        <v>2312</v>
      </c>
      <c r="F48" s="6">
        <v>2428</v>
      </c>
    </row>
    <row r="49" spans="1:37" x14ac:dyDescent="0.25">
      <c r="A49" s="2" t="s">
        <v>50</v>
      </c>
      <c r="B49" s="6">
        <v>444</v>
      </c>
      <c r="C49" s="6">
        <v>2962</v>
      </c>
      <c r="D49" s="6">
        <v>368</v>
      </c>
      <c r="E49" s="6">
        <v>988</v>
      </c>
      <c r="F49" s="6">
        <v>164</v>
      </c>
    </row>
    <row r="50" spans="1:37" x14ac:dyDescent="0.25">
      <c r="A50" s="11" t="s">
        <v>51</v>
      </c>
      <c r="B50" s="5">
        <f t="shared" ref="B50:C50" si="5">SUM(B42:B49)</f>
        <v>98367</v>
      </c>
      <c r="C50" s="5">
        <f t="shared" si="5"/>
        <v>205725</v>
      </c>
      <c r="D50" s="5">
        <f>SUM(D42:D49)</f>
        <v>220179</v>
      </c>
      <c r="E50" s="5">
        <f>SUM(E42:E49)</f>
        <v>260001</v>
      </c>
      <c r="F50" s="5">
        <f>SUM(F42:F49)</f>
        <v>321897</v>
      </c>
      <c r="H50" t="s">
        <v>112</v>
      </c>
      <c r="AA50" t="s">
        <v>113</v>
      </c>
    </row>
    <row r="51" spans="1:37" x14ac:dyDescent="0.25">
      <c r="A51" s="10" t="s">
        <v>52</v>
      </c>
      <c r="B51" s="5">
        <f t="shared" ref="B51:C51" si="6">B40+B50</f>
        <v>98371</v>
      </c>
      <c r="C51" s="5">
        <f t="shared" si="6"/>
        <v>254059</v>
      </c>
      <c r="D51" s="5">
        <f>D40+D50</f>
        <v>317501</v>
      </c>
      <c r="E51" s="5">
        <f>E40+E50</f>
        <v>363065</v>
      </c>
      <c r="F51" s="5">
        <f>F40+F50</f>
        <v>420160</v>
      </c>
    </row>
    <row r="52" spans="1:37" x14ac:dyDescent="0.25">
      <c r="A52" s="18" t="s">
        <v>53</v>
      </c>
      <c r="B52" s="16">
        <f>B33+B51</f>
        <v>121525</v>
      </c>
      <c r="C52" s="16">
        <f>C33+C51</f>
        <v>285434</v>
      </c>
      <c r="D52" s="16">
        <f>D33+D51</f>
        <v>349628</v>
      </c>
      <c r="E52" s="16">
        <f>E33+E51</f>
        <v>396704</v>
      </c>
      <c r="F52" s="16">
        <f>F33+F51</f>
        <v>443372</v>
      </c>
      <c r="H52" s="99" t="s">
        <v>105</v>
      </c>
      <c r="I52" s="99"/>
      <c r="J52" s="99"/>
      <c r="K52" s="99"/>
      <c r="L52" s="99"/>
      <c r="N52" s="100" t="s">
        <v>106</v>
      </c>
      <c r="O52" s="101"/>
      <c r="P52" s="101"/>
      <c r="Q52" s="101"/>
      <c r="R52" s="102"/>
      <c r="AA52" s="99" t="s">
        <v>105</v>
      </c>
      <c r="AB52" s="99"/>
      <c r="AC52" s="99"/>
      <c r="AD52" s="99"/>
      <c r="AE52" s="99"/>
      <c r="AG52" s="100" t="s">
        <v>106</v>
      </c>
      <c r="AH52" s="101"/>
      <c r="AI52" s="101"/>
      <c r="AJ52" s="101"/>
      <c r="AK52" s="102"/>
    </row>
    <row r="53" spans="1:37" x14ac:dyDescent="0.25">
      <c r="A53" s="17"/>
      <c r="B53" s="1"/>
      <c r="C53" s="1"/>
      <c r="D53" s="1"/>
      <c r="E53" s="1"/>
      <c r="F53" s="1"/>
      <c r="H53" s="58">
        <v>2017</v>
      </c>
      <c r="I53" s="58">
        <v>2018</v>
      </c>
      <c r="J53" s="58">
        <v>2019</v>
      </c>
      <c r="K53" s="58">
        <v>2020</v>
      </c>
      <c r="L53" s="58">
        <v>2021</v>
      </c>
      <c r="N53" s="58">
        <v>2017</v>
      </c>
      <c r="O53" s="58">
        <v>2018</v>
      </c>
      <c r="P53" s="58">
        <v>2019</v>
      </c>
      <c r="Q53" s="58">
        <v>2020</v>
      </c>
      <c r="R53" s="58">
        <v>2021</v>
      </c>
      <c r="AA53" s="58">
        <v>2017</v>
      </c>
      <c r="AB53" s="58">
        <v>2018</v>
      </c>
      <c r="AC53" s="58">
        <v>2019</v>
      </c>
      <c r="AD53" s="58">
        <v>2020</v>
      </c>
      <c r="AE53" s="58">
        <v>2021</v>
      </c>
      <c r="AG53" s="58">
        <v>2017</v>
      </c>
      <c r="AH53" s="58">
        <v>2018</v>
      </c>
      <c r="AI53" s="58">
        <v>2019</v>
      </c>
      <c r="AJ53" s="58">
        <v>2020</v>
      </c>
      <c r="AK53" s="58">
        <v>2021</v>
      </c>
    </row>
    <row r="54" spans="1:37" x14ac:dyDescent="0.25">
      <c r="A54" s="97" t="s">
        <v>54</v>
      </c>
      <c r="B54" s="97"/>
      <c r="C54" s="97"/>
      <c r="D54" s="97"/>
      <c r="E54" s="97"/>
      <c r="F54" s="97"/>
      <c r="H54" s="58">
        <f>-B57/((45170+B16)/2)</f>
        <v>3.1126799585441187</v>
      </c>
      <c r="I54" s="58">
        <f>-C57/((B16+C16)/2)</f>
        <v>2.9313417317503689</v>
      </c>
      <c r="J54" s="58">
        <f>-D57/((C16+D16)/2)</f>
        <v>2.2632130768595724</v>
      </c>
      <c r="K54" s="58">
        <f>-E57/((D16+E16)/2)</f>
        <v>2.3217062826637305</v>
      </c>
      <c r="L54" s="58">
        <f>-F57/((E16+F16)/2)</f>
        <v>2.454165245758186</v>
      </c>
      <c r="N54" s="89">
        <f>365/H54</f>
        <v>117.26229643304542</v>
      </c>
      <c r="O54" s="89">
        <f t="shared" ref="O54:Q54" si="7">365/I54</f>
        <v>124.51635919707336</v>
      </c>
      <c r="P54" s="89">
        <f t="shared" si="7"/>
        <v>161.27513742827648</v>
      </c>
      <c r="Q54" s="89">
        <f t="shared" si="7"/>
        <v>157.21196204940691</v>
      </c>
      <c r="R54" s="89">
        <f>365/L54</f>
        <v>148.72674145755718</v>
      </c>
      <c r="AA54" s="58">
        <f>517288/((0+32641)/2)</f>
        <v>31.695597561349224</v>
      </c>
      <c r="AB54" s="58">
        <f>172278728/((32641+65260230)/2)</f>
        <v>5.2771068375902788</v>
      </c>
      <c r="AC54" s="58">
        <f>249252503/((65260230+81349522)/2)</f>
        <v>3.4002172379365323</v>
      </c>
      <c r="AD54" s="58">
        <f>334849692/((81349522+100220016)/2)</f>
        <v>3.6883906374206887</v>
      </c>
      <c r="AE54" s="58">
        <f>456533783/((100220016+145510939)/2)</f>
        <v>3.7157205774095492</v>
      </c>
      <c r="AG54" s="89">
        <f>365/AA54</f>
        <v>11.515794876355145</v>
      </c>
      <c r="AH54" s="89">
        <f t="shared" ref="AH54" si="8">365/AB54</f>
        <v>69.166687587222029</v>
      </c>
      <c r="AI54" s="89">
        <f t="shared" ref="AI54" si="9">365/AC54</f>
        <v>107.34608245839762</v>
      </c>
      <c r="AJ54" s="89">
        <f t="shared" ref="AJ54" si="10">365/AD54</f>
        <v>98.959149363649416</v>
      </c>
      <c r="AK54" s="89">
        <f>365/AE54</f>
        <v>98.231283110761609</v>
      </c>
    </row>
    <row r="55" spans="1:37" ht="15.95" customHeight="1" x14ac:dyDescent="0.25">
      <c r="A55" s="98"/>
      <c r="B55" s="98"/>
      <c r="C55" s="98"/>
      <c r="D55" s="98"/>
      <c r="E55" s="98"/>
      <c r="F55" s="98"/>
    </row>
    <row r="56" spans="1:37" x14ac:dyDescent="0.25">
      <c r="A56" s="25" t="s">
        <v>55</v>
      </c>
      <c r="B56" s="19">
        <v>198197</v>
      </c>
      <c r="C56" s="19">
        <v>321102</v>
      </c>
      <c r="D56" s="19">
        <v>365216</v>
      </c>
      <c r="E56" s="19">
        <v>417857</v>
      </c>
      <c r="F56" s="19">
        <v>476364</v>
      </c>
      <c r="H56" s="100" t="s">
        <v>108</v>
      </c>
      <c r="I56" s="101"/>
      <c r="J56" s="101"/>
      <c r="K56" s="101"/>
      <c r="L56" s="102"/>
      <c r="N56" s="100" t="s">
        <v>110</v>
      </c>
      <c r="O56" s="101"/>
      <c r="P56" s="101"/>
      <c r="Q56" s="101"/>
      <c r="R56" s="102"/>
      <c r="AA56" s="100" t="s">
        <v>108</v>
      </c>
      <c r="AB56" s="101"/>
      <c r="AC56" s="101"/>
      <c r="AD56" s="101"/>
      <c r="AE56" s="102"/>
      <c r="AG56" s="100" t="s">
        <v>110</v>
      </c>
      <c r="AH56" s="101"/>
      <c r="AI56" s="101"/>
      <c r="AJ56" s="101"/>
      <c r="AK56" s="102"/>
    </row>
    <row r="57" spans="1:37" x14ac:dyDescent="0.25">
      <c r="A57" s="2" t="s">
        <v>56</v>
      </c>
      <c r="B57" s="21">
        <v>-151670</v>
      </c>
      <c r="C57" s="19">
        <v>-242463</v>
      </c>
      <c r="D57" s="19">
        <v>-274143</v>
      </c>
      <c r="E57" s="19">
        <v>-320522</v>
      </c>
      <c r="F57" s="19">
        <v>-381419</v>
      </c>
      <c r="H57" s="58">
        <v>2017</v>
      </c>
      <c r="I57" s="58">
        <v>2018</v>
      </c>
      <c r="J57" s="58">
        <v>2019</v>
      </c>
      <c r="K57" s="58">
        <v>2020</v>
      </c>
      <c r="L57" s="58">
        <v>2021</v>
      </c>
      <c r="N57" s="58">
        <v>2017</v>
      </c>
      <c r="O57" s="58">
        <v>2018</v>
      </c>
      <c r="P57" s="58">
        <v>2019</v>
      </c>
      <c r="Q57" s="58">
        <v>2020</v>
      </c>
      <c r="R57" s="58">
        <v>2021</v>
      </c>
      <c r="AA57" s="58">
        <v>2017</v>
      </c>
      <c r="AB57" s="58">
        <v>2018</v>
      </c>
      <c r="AC57" s="58">
        <v>2019</v>
      </c>
      <c r="AD57" s="58">
        <v>2020</v>
      </c>
      <c r="AE57" s="58">
        <v>2021</v>
      </c>
      <c r="AG57" s="58">
        <v>2017</v>
      </c>
      <c r="AH57" s="58">
        <v>2018</v>
      </c>
      <c r="AI57" s="58">
        <v>2019</v>
      </c>
      <c r="AJ57" s="58">
        <v>2020</v>
      </c>
      <c r="AK57" s="58">
        <v>2021</v>
      </c>
    </row>
    <row r="58" spans="1:37" x14ac:dyDescent="0.25">
      <c r="A58" s="26" t="s">
        <v>57</v>
      </c>
      <c r="B58" s="16">
        <f t="shared" ref="B58:E58" si="11">B56+B57</f>
        <v>46527</v>
      </c>
      <c r="C58" s="16">
        <f t="shared" si="11"/>
        <v>78639</v>
      </c>
      <c r="D58" s="16">
        <f t="shared" si="11"/>
        <v>91073</v>
      </c>
      <c r="E58" s="16">
        <f t="shared" si="11"/>
        <v>97335</v>
      </c>
      <c r="F58" s="16">
        <f>F56+F57</f>
        <v>94945</v>
      </c>
      <c r="H58" s="58">
        <f>-B57/((66285+B42)/2)</f>
        <v>2.1067764944472613</v>
      </c>
      <c r="I58" s="58">
        <f>-C57/((B42+C42)/2)</f>
        <v>2.0801739891385478</v>
      </c>
      <c r="J58" s="58">
        <f>-D57/((C42+D42)/2)</f>
        <v>1.6540295940992804</v>
      </c>
      <c r="K58" s="58">
        <f>-E57/((D42+E42)/2)</f>
        <v>1.6697028341325304</v>
      </c>
      <c r="L58" s="58">
        <f>-F57/((E42+F42)/2)</f>
        <v>1.7135264810663409</v>
      </c>
      <c r="N58" s="89">
        <f>365/H58</f>
        <v>173.25046152831806</v>
      </c>
      <c r="O58" s="89">
        <f t="shared" ref="O58:R58" si="12">365/I58</f>
        <v>175.46609173358411</v>
      </c>
      <c r="P58" s="89">
        <f t="shared" si="12"/>
        <v>220.67319792954774</v>
      </c>
      <c r="Q58" s="89">
        <f t="shared" si="12"/>
        <v>218.60177304521997</v>
      </c>
      <c r="R58" s="89">
        <f t="shared" si="12"/>
        <v>213.01100626869663</v>
      </c>
      <c r="AA58" s="58">
        <f>517288/((8331556+3685152)/2)</f>
        <v>8.6094794015132925E-2</v>
      </c>
      <c r="AB58" s="58">
        <f>172278728/((3685152+17960424)/2)</f>
        <v>15.918146784359076</v>
      </c>
      <c r="AC58" s="58">
        <f>249252503/((17960424+28409817)/2)</f>
        <v>10.750537311203537</v>
      </c>
      <c r="AD58" s="58">
        <f>334849692/((28409817+37038911)/2)</f>
        <v>10.23242780211099</v>
      </c>
      <c r="AE58" s="58">
        <f>456533783/((37038911+62133166)/2)</f>
        <v>9.2069017169016227</v>
      </c>
      <c r="AG58" s="89">
        <f>365/AA58</f>
        <v>4239.5130178933205</v>
      </c>
      <c r="AH58" s="89">
        <f t="shared" ref="AH58" si="13">365/AB58</f>
        <v>22.929804891524391</v>
      </c>
      <c r="AI58" s="89">
        <f t="shared" ref="AI58" si="14">365/AC58</f>
        <v>33.951791378801119</v>
      </c>
      <c r="AJ58" s="89">
        <f t="shared" ref="AJ58" si="15">365/AD58</f>
        <v>35.670908904404783</v>
      </c>
      <c r="AK58" s="89">
        <f>365/AE58</f>
        <v>39.644172515706252</v>
      </c>
    </row>
    <row r="59" spans="1:37" ht="30" x14ac:dyDescent="0.25">
      <c r="A59" s="4" t="s">
        <v>58</v>
      </c>
      <c r="B59" s="6">
        <v>-40754</v>
      </c>
      <c r="C59" s="6">
        <v>-69234</v>
      </c>
      <c r="D59" s="6">
        <v>-72546</v>
      </c>
      <c r="E59" s="6">
        <v>-78818</v>
      </c>
      <c r="F59" s="6">
        <v>-87192</v>
      </c>
    </row>
    <row r="60" spans="1:37" x14ac:dyDescent="0.25">
      <c r="A60" s="4" t="s">
        <v>59</v>
      </c>
      <c r="B60" s="6">
        <v>2623</v>
      </c>
      <c r="C60" s="6">
        <v>6079</v>
      </c>
      <c r="D60" s="6">
        <v>6408</v>
      </c>
      <c r="E60" s="6">
        <v>4987</v>
      </c>
      <c r="F60" s="6">
        <v>6403</v>
      </c>
      <c r="H60" s="100" t="s">
        <v>107</v>
      </c>
      <c r="I60" s="101"/>
      <c r="J60" s="101"/>
      <c r="K60" s="101"/>
      <c r="L60" s="102"/>
      <c r="N60" s="100" t="s">
        <v>111</v>
      </c>
      <c r="O60" s="101"/>
      <c r="P60" s="101"/>
      <c r="Q60" s="101"/>
      <c r="R60" s="102"/>
      <c r="AA60" s="100" t="s">
        <v>107</v>
      </c>
      <c r="AB60" s="101"/>
      <c r="AC60" s="101"/>
      <c r="AD60" s="101"/>
      <c r="AE60" s="102"/>
      <c r="AG60" s="100" t="s">
        <v>111</v>
      </c>
      <c r="AH60" s="101"/>
      <c r="AI60" s="101"/>
      <c r="AJ60" s="101"/>
      <c r="AK60" s="102"/>
    </row>
    <row r="61" spans="1:37" x14ac:dyDescent="0.25">
      <c r="A61" s="4" t="s">
        <v>60</v>
      </c>
      <c r="B61" s="6">
        <v>-216</v>
      </c>
      <c r="C61" s="6">
        <v>-801</v>
      </c>
      <c r="D61" s="6">
        <v>-821</v>
      </c>
      <c r="E61" s="6">
        <v>-577</v>
      </c>
      <c r="F61" s="6">
        <v>-414</v>
      </c>
      <c r="H61" s="58">
        <v>2017</v>
      </c>
      <c r="I61" s="58">
        <v>2018</v>
      </c>
      <c r="J61" s="58">
        <v>2019</v>
      </c>
      <c r="K61" s="58">
        <v>2020</v>
      </c>
      <c r="L61" s="58">
        <v>2021</v>
      </c>
      <c r="N61" s="58">
        <v>2017</v>
      </c>
      <c r="O61" s="58">
        <v>2018</v>
      </c>
      <c r="P61" s="58">
        <v>2019</v>
      </c>
      <c r="Q61" s="58">
        <v>2020</v>
      </c>
      <c r="R61" s="58">
        <v>2021</v>
      </c>
      <c r="AA61" s="58">
        <v>2017</v>
      </c>
      <c r="AB61" s="58">
        <v>2018</v>
      </c>
      <c r="AC61" s="58">
        <v>2019</v>
      </c>
      <c r="AD61" s="58">
        <v>2020</v>
      </c>
      <c r="AE61" s="58">
        <v>2021</v>
      </c>
      <c r="AG61" s="58">
        <v>2017</v>
      </c>
      <c r="AH61" s="58">
        <v>2018</v>
      </c>
      <c r="AI61" s="58">
        <v>2019</v>
      </c>
      <c r="AJ61" s="58">
        <v>2020</v>
      </c>
      <c r="AK61" s="58">
        <v>2021</v>
      </c>
    </row>
    <row r="62" spans="1:37" x14ac:dyDescent="0.25">
      <c r="A62" s="14" t="s">
        <v>61</v>
      </c>
      <c r="B62" s="5">
        <f t="shared" ref="B62:E62" si="16">SUM(B58:B61)</f>
        <v>8180</v>
      </c>
      <c r="C62" s="5">
        <f t="shared" si="16"/>
        <v>14683</v>
      </c>
      <c r="D62" s="5">
        <f t="shared" si="16"/>
        <v>24114</v>
      </c>
      <c r="E62" s="5">
        <f t="shared" si="16"/>
        <v>22927</v>
      </c>
      <c r="F62" s="5">
        <f>SUM(F58:F61)</f>
        <v>13742</v>
      </c>
      <c r="H62" s="58">
        <f>B56/((12513+B17)/2)</f>
        <v>11.886946351995682</v>
      </c>
      <c r="I62" s="58">
        <f>C56/((B17+C17)/2)</f>
        <v>12.725730704448628</v>
      </c>
      <c r="J62" s="58">
        <f>D56/((C17+D17)/2)</f>
        <v>11.454702275471639</v>
      </c>
      <c r="K62" s="58">
        <f>E56/((D17+E17)/2)</f>
        <v>10.399626679940269</v>
      </c>
      <c r="L62" s="58">
        <f>F56/((E17+F17)/2)</f>
        <v>10.234592701608138</v>
      </c>
      <c r="N62" s="89">
        <f>365/H62</f>
        <v>30.70595165416227</v>
      </c>
      <c r="O62" s="89">
        <f>365/I62</f>
        <v>28.682046514814608</v>
      </c>
      <c r="P62" s="89">
        <f>365/J62</f>
        <v>31.864643115307103</v>
      </c>
      <c r="Q62" s="89">
        <f>365/K62</f>
        <v>35.097413708517507</v>
      </c>
      <c r="R62" s="89">
        <f>365/L62</f>
        <v>35.663363520333192</v>
      </c>
      <c r="AA62" s="58">
        <f>2740879/((14727611+13910117)/2)</f>
        <v>0.19141734986797834</v>
      </c>
      <c r="AB62" s="58">
        <f>220557793/((13910117+7341159)/2)</f>
        <v>20.757134112793981</v>
      </c>
      <c r="AC62" s="58">
        <f>309218870/((7341159+7387004)/2)</f>
        <v>41.990147719033253</v>
      </c>
      <c r="AD62" s="58">
        <f>427633442/((7387004+9000585)/2)</f>
        <v>52.189915429292256</v>
      </c>
      <c r="AE62" s="58">
        <f>562243775/((9000585+21500006)/2)</f>
        <v>36.86772987448014</v>
      </c>
      <c r="AG62" s="89">
        <f>365/AA62</f>
        <v>1906.8281963559866</v>
      </c>
      <c r="AH62" s="89">
        <f>365/AB62</f>
        <v>17.584315735332009</v>
      </c>
      <c r="AI62" s="89">
        <f>365/AC62</f>
        <v>8.6925152643498116</v>
      </c>
      <c r="AJ62" s="89">
        <f>365/AD62</f>
        <v>6.9936882824519602</v>
      </c>
      <c r="AK62" s="89">
        <f>365/AE62</f>
        <v>9.9002569792791384</v>
      </c>
    </row>
    <row r="63" spans="1:37" x14ac:dyDescent="0.25">
      <c r="A63" s="2" t="s">
        <v>62</v>
      </c>
      <c r="B63" s="6">
        <v>659</v>
      </c>
      <c r="C63" s="6">
        <v>509</v>
      </c>
      <c r="D63" s="6">
        <v>295</v>
      </c>
      <c r="E63" s="6">
        <v>491</v>
      </c>
      <c r="F63" s="6">
        <v>164</v>
      </c>
    </row>
    <row r="64" spans="1:37" x14ac:dyDescent="0.25">
      <c r="A64" s="2" t="s">
        <v>63</v>
      </c>
      <c r="B64" s="22" t="s">
        <v>10</v>
      </c>
      <c r="C64" s="6">
        <v>-3617</v>
      </c>
      <c r="D64" s="6">
        <v>-12961</v>
      </c>
      <c r="E64" s="6">
        <v>-12733</v>
      </c>
      <c r="F64" s="6">
        <v>-14417</v>
      </c>
    </row>
    <row r="65" spans="1:31" ht="45" x14ac:dyDescent="0.25">
      <c r="A65" s="4" t="s">
        <v>64</v>
      </c>
      <c r="B65" s="22" t="s">
        <v>10</v>
      </c>
      <c r="C65" s="22" t="s">
        <v>10</v>
      </c>
      <c r="D65" s="22" t="s">
        <v>10</v>
      </c>
      <c r="E65" s="20" t="s">
        <v>10</v>
      </c>
      <c r="F65" s="6">
        <v>4576</v>
      </c>
    </row>
    <row r="66" spans="1:31" ht="30" x14ac:dyDescent="0.25">
      <c r="A66" s="4" t="s">
        <v>65</v>
      </c>
      <c r="B66" s="22" t="s">
        <v>10</v>
      </c>
      <c r="C66" s="22" t="s">
        <v>10</v>
      </c>
      <c r="D66" s="6">
        <v>-1955</v>
      </c>
      <c r="E66" s="6">
        <v>-2468</v>
      </c>
      <c r="F66" s="6">
        <v>-945</v>
      </c>
      <c r="H66" s="94" t="s">
        <v>109</v>
      </c>
      <c r="I66" s="95"/>
      <c r="J66" s="95"/>
      <c r="K66" s="95"/>
      <c r="L66" s="96"/>
      <c r="AA66" s="94" t="s">
        <v>109</v>
      </c>
      <c r="AB66" s="95"/>
      <c r="AC66" s="95"/>
      <c r="AD66" s="95"/>
      <c r="AE66" s="96"/>
    </row>
    <row r="67" spans="1:31" x14ac:dyDescent="0.25">
      <c r="A67" s="14" t="s">
        <v>66</v>
      </c>
      <c r="B67" s="5">
        <f t="shared" ref="B67:D67" si="17">SUM(B62:B66)</f>
        <v>8839</v>
      </c>
      <c r="C67" s="5">
        <f t="shared" si="17"/>
        <v>11575</v>
      </c>
      <c r="D67" s="5">
        <f t="shared" si="17"/>
        <v>9493</v>
      </c>
      <c r="E67" s="5">
        <f>SUM(E62:E66)</f>
        <v>8217</v>
      </c>
      <c r="F67" s="5">
        <f>SUM(F62:F66)</f>
        <v>3120</v>
      </c>
      <c r="H67" s="58">
        <v>2017</v>
      </c>
      <c r="I67" s="58">
        <v>2018</v>
      </c>
      <c r="J67" s="58">
        <v>2019</v>
      </c>
      <c r="K67" s="58">
        <v>2020</v>
      </c>
      <c r="L67" s="58">
        <v>2021</v>
      </c>
      <c r="AA67" s="58">
        <v>2017</v>
      </c>
      <c r="AB67" s="58">
        <v>2018</v>
      </c>
      <c r="AC67" s="58">
        <v>2019</v>
      </c>
      <c r="AD67" s="58">
        <v>2020</v>
      </c>
      <c r="AE67" s="58">
        <v>2021</v>
      </c>
    </row>
    <row r="68" spans="1:31" x14ac:dyDescent="0.25">
      <c r="A68" s="2" t="s">
        <v>67</v>
      </c>
      <c r="B68" s="6">
        <v>-1885</v>
      </c>
      <c r="C68" s="6">
        <v>-3210</v>
      </c>
      <c r="D68" s="6">
        <v>-2359</v>
      </c>
      <c r="E68" s="6">
        <v>-1676</v>
      </c>
      <c r="F68" s="6">
        <v>-740</v>
      </c>
      <c r="H68" s="6">
        <f>N62+N54-N58</f>
        <v>-25.282213441110372</v>
      </c>
      <c r="I68" s="6">
        <f t="shared" ref="I68:L68" si="18">O62+O54-O58</f>
        <v>-22.267686021696136</v>
      </c>
      <c r="J68" s="6">
        <f t="shared" si="18"/>
        <v>-27.533417385964157</v>
      </c>
      <c r="K68" s="6">
        <f t="shared" si="18"/>
        <v>-26.292397287295557</v>
      </c>
      <c r="L68" s="6">
        <f t="shared" si="18"/>
        <v>-28.620901290806273</v>
      </c>
      <c r="AA68" s="6">
        <f>AG62+AG54-AG58</f>
        <v>-2321.1690266609785</v>
      </c>
      <c r="AB68" s="6">
        <f t="shared" ref="AB68:AE68" si="19">AH62+AH54-AH58</f>
        <v>63.82119843102965</v>
      </c>
      <c r="AC68" s="6">
        <f t="shared" si="19"/>
        <v>82.086806343946307</v>
      </c>
      <c r="AD68" s="6">
        <f t="shared" si="19"/>
        <v>70.281928741696589</v>
      </c>
      <c r="AE68" s="6">
        <f t="shared" si="19"/>
        <v>68.487367574334485</v>
      </c>
    </row>
    <row r="69" spans="1:31" ht="30" x14ac:dyDescent="0.25">
      <c r="A69" s="18" t="s">
        <v>68</v>
      </c>
      <c r="B69" s="5">
        <f t="shared" ref="B69:E69" si="20">B67+B68</f>
        <v>6954</v>
      </c>
      <c r="C69" s="5">
        <f t="shared" si="20"/>
        <v>8365</v>
      </c>
      <c r="D69" s="5">
        <f t="shared" si="20"/>
        <v>7134</v>
      </c>
      <c r="E69" s="5">
        <f t="shared" si="20"/>
        <v>6541</v>
      </c>
      <c r="F69" s="5">
        <f>F67+F68</f>
        <v>2380</v>
      </c>
      <c r="G69" s="1"/>
    </row>
    <row r="70" spans="1:31" x14ac:dyDescent="0.25">
      <c r="A70" s="2" t="s">
        <v>69</v>
      </c>
      <c r="B70" s="6">
        <v>38.729999999999997</v>
      </c>
      <c r="C70" s="6">
        <v>48.04</v>
      </c>
      <c r="D70" s="6">
        <v>40.130000000000003</v>
      </c>
      <c r="E70" s="6">
        <v>36.79</v>
      </c>
      <c r="F70" s="6">
        <v>13.36</v>
      </c>
    </row>
    <row r="71" spans="1:31" x14ac:dyDescent="0.25">
      <c r="A71" s="2" t="s">
        <v>70</v>
      </c>
      <c r="B71" s="6">
        <v>38.729999999999997</v>
      </c>
      <c r="C71" s="6">
        <v>48.04</v>
      </c>
      <c r="D71" s="6">
        <v>40.130000000000003</v>
      </c>
      <c r="E71" s="6">
        <v>36.74</v>
      </c>
      <c r="F71" s="6">
        <v>13.32</v>
      </c>
    </row>
    <row r="72" spans="1:31" ht="60" x14ac:dyDescent="0.25">
      <c r="A72" s="27" t="s">
        <v>71</v>
      </c>
      <c r="B72" s="30" t="s">
        <v>10</v>
      </c>
      <c r="C72" s="30" t="s">
        <v>10</v>
      </c>
      <c r="D72" s="16">
        <v>9089</v>
      </c>
      <c r="E72" s="16">
        <v>9009</v>
      </c>
      <c r="F72" s="16">
        <v>3325</v>
      </c>
    </row>
    <row r="74" spans="1:31" x14ac:dyDescent="0.25">
      <c r="AA74" s="58">
        <v>2019</v>
      </c>
      <c r="AB74" s="58">
        <v>2020</v>
      </c>
      <c r="AC74" s="58">
        <v>2021</v>
      </c>
    </row>
    <row r="75" spans="1:31" x14ac:dyDescent="0.25">
      <c r="AA75" s="6">
        <v>107.34608245839762</v>
      </c>
      <c r="AB75" s="6">
        <v>98.959149363649416</v>
      </c>
      <c r="AC75" s="6">
        <v>98.231283110761609</v>
      </c>
    </row>
    <row r="76" spans="1:31" x14ac:dyDescent="0.25">
      <c r="AA76" s="6">
        <v>161.27513742827648</v>
      </c>
      <c r="AB76" s="6">
        <v>157.21196204940691</v>
      </c>
      <c r="AC76" s="6">
        <v>148.72674145755718</v>
      </c>
    </row>
    <row r="78" spans="1:31" x14ac:dyDescent="0.25">
      <c r="AA78" s="58">
        <v>2019</v>
      </c>
      <c r="AB78" s="58">
        <v>2020</v>
      </c>
      <c r="AC78" s="58">
        <v>2021</v>
      </c>
    </row>
    <row r="79" spans="1:31" x14ac:dyDescent="0.25">
      <c r="AA79" s="6">
        <v>33.951791378801119</v>
      </c>
      <c r="AB79" s="6">
        <v>35.670908904404783</v>
      </c>
      <c r="AC79" s="6">
        <v>39.644172515706252</v>
      </c>
    </row>
    <row r="80" spans="1:31" x14ac:dyDescent="0.25">
      <c r="AA80" s="6">
        <v>220.67319792954774</v>
      </c>
      <c r="AB80" s="6">
        <v>218.60177304521997</v>
      </c>
      <c r="AC80" s="6">
        <v>213.01100626869663</v>
      </c>
    </row>
    <row r="82" spans="27:29" x14ac:dyDescent="0.25">
      <c r="AA82" s="58">
        <v>2019</v>
      </c>
      <c r="AB82" s="58">
        <v>2020</v>
      </c>
      <c r="AC82" s="58">
        <v>2021</v>
      </c>
    </row>
    <row r="83" spans="27:29" x14ac:dyDescent="0.25">
      <c r="AA83" s="6">
        <v>8.6925152643498116</v>
      </c>
      <c r="AB83" s="6">
        <v>6.9936882824519602</v>
      </c>
      <c r="AC83" s="6">
        <v>9.9002569792791384</v>
      </c>
    </row>
    <row r="84" spans="27:29" x14ac:dyDescent="0.25">
      <c r="AA84" s="6">
        <v>31.864643115307103</v>
      </c>
      <c r="AB84" s="6">
        <v>35.097413708517507</v>
      </c>
      <c r="AC84" s="6">
        <v>35.663363520333192</v>
      </c>
    </row>
    <row r="86" spans="27:29" x14ac:dyDescent="0.25">
      <c r="AA86" s="58">
        <v>2019</v>
      </c>
      <c r="AB86" s="58">
        <v>2020</v>
      </c>
      <c r="AC86" s="58">
        <v>2021</v>
      </c>
    </row>
    <row r="87" spans="27:29" x14ac:dyDescent="0.25">
      <c r="AA87" s="6">
        <v>82.086806343946307</v>
      </c>
      <c r="AB87" s="6">
        <v>70.281928741696589</v>
      </c>
      <c r="AC87" s="6">
        <v>68.487367574334485</v>
      </c>
    </row>
    <row r="88" spans="27:29" x14ac:dyDescent="0.25">
      <c r="AA88" s="6">
        <v>-27.533417385964157</v>
      </c>
      <c r="AB88" s="6">
        <v>-26.292397287295557</v>
      </c>
      <c r="AC88" s="6">
        <v>-28.620901290806273</v>
      </c>
    </row>
  </sheetData>
  <mergeCells count="16">
    <mergeCell ref="AA52:AE52"/>
    <mergeCell ref="AA66:AE66"/>
    <mergeCell ref="AG52:AK52"/>
    <mergeCell ref="AA56:AE56"/>
    <mergeCell ref="AG56:AK56"/>
    <mergeCell ref="AA60:AE60"/>
    <mergeCell ref="AG60:AK60"/>
    <mergeCell ref="H66:L66"/>
    <mergeCell ref="A54:F55"/>
    <mergeCell ref="A1:F1"/>
    <mergeCell ref="H52:L52"/>
    <mergeCell ref="N52:R52"/>
    <mergeCell ref="N56:R56"/>
    <mergeCell ref="H56:L56"/>
    <mergeCell ref="N60:R60"/>
    <mergeCell ref="H60:L60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"/>
  <sheetViews>
    <sheetView workbookViewId="0">
      <selection activeCell="J14" sqref="J14"/>
    </sheetView>
  </sheetViews>
  <sheetFormatPr defaultColWidth="8.85546875" defaultRowHeight="15" x14ac:dyDescent="0.25"/>
  <sheetData>
    <row r="2" spans="1:11" ht="15.75" thickBot="1" x14ac:dyDescent="0.3">
      <c r="A2" s="103" t="s">
        <v>87</v>
      </c>
      <c r="B2" s="104"/>
      <c r="C2" s="104"/>
      <c r="D2" s="104"/>
      <c r="E2" s="105"/>
      <c r="G2" s="103" t="s">
        <v>88</v>
      </c>
      <c r="H2" s="104"/>
      <c r="I2" s="104"/>
      <c r="J2" s="104"/>
      <c r="K2" s="105"/>
    </row>
    <row r="3" spans="1:11" x14ac:dyDescent="0.25">
      <c r="A3" s="91">
        <v>2017</v>
      </c>
      <c r="B3" s="91">
        <v>2018</v>
      </c>
      <c r="C3" s="91">
        <v>2019</v>
      </c>
      <c r="D3" s="91">
        <v>2020</v>
      </c>
      <c r="E3" s="91">
        <v>2021</v>
      </c>
      <c r="F3" s="93"/>
      <c r="G3" s="91">
        <v>2017</v>
      </c>
      <c r="H3" s="91">
        <v>2018</v>
      </c>
      <c r="I3" s="91">
        <v>2019</v>
      </c>
      <c r="J3" s="91">
        <v>2020</v>
      </c>
      <c r="K3" s="91">
        <v>2021</v>
      </c>
    </row>
    <row r="4" spans="1:11" x14ac:dyDescent="0.25">
      <c r="A4" s="92">
        <f>'ОФП и ОПУ'!B24/'ОФП и ОПУ'!B50</f>
        <v>0.99486616446572529</v>
      </c>
      <c r="B4" s="92">
        <f>'ОФП и ОПУ'!C24/'ОФП и ОПУ'!C50</f>
        <v>0.90875197472353875</v>
      </c>
      <c r="C4" s="92">
        <f>'ОФП и ОПУ'!D24/'ОФП и ОПУ'!D50</f>
        <v>0.86709904214298361</v>
      </c>
      <c r="D4" s="92">
        <f>'ОФП и ОПУ'!E24/'ОФП и ОПУ'!E50</f>
        <v>0.88140045615209173</v>
      </c>
      <c r="E4" s="92">
        <f>'ОФП и ОПУ'!F24/'ОФП и ОПУ'!F50</f>
        <v>0.81082768711730768</v>
      </c>
      <c r="F4" s="93"/>
      <c r="G4" s="92">
        <f>('ОФП и ОПУ'!B24-'ОФП и ОПУ'!B16)/'ОФП и ОПУ'!B50</f>
        <v>0.46335661349842933</v>
      </c>
      <c r="H4" s="92">
        <f>('ОФП и ОПУ'!C24-'ОФП и ОПУ'!C16)/'ОФП и ОПУ'!C50</f>
        <v>0.35877020294081907</v>
      </c>
      <c r="I4" s="92">
        <f>('ОФП и ОПУ'!D24-'ОФП и ОПУ'!D16)/'ОФП и ОПУ'!D50</f>
        <v>0.28068980238805696</v>
      </c>
      <c r="J4" s="92">
        <f>('ОФП и ОПУ'!E24-'ОФП и ОПУ'!E16)/'ОФП и ОПУ'!E50</f>
        <v>0.3160410921496456</v>
      </c>
      <c r="K4" s="92">
        <f>('ОФП и ОПУ'!F24-'ОФП и ОПУ'!F16)/'ОФП и ОПУ'!F50</f>
        <v>0.30184500010873044</v>
      </c>
    </row>
    <row r="6" spans="1:11" x14ac:dyDescent="0.25">
      <c r="A6" s="106" t="s">
        <v>115</v>
      </c>
      <c r="B6" s="106"/>
      <c r="C6" s="106"/>
      <c r="D6" s="106"/>
      <c r="E6" s="106"/>
      <c r="G6" s="106" t="s">
        <v>116</v>
      </c>
      <c r="H6" s="106"/>
      <c r="I6" s="106"/>
      <c r="J6" s="106"/>
      <c r="K6" s="106"/>
    </row>
    <row r="7" spans="1:11" ht="15.75" thickBot="1" x14ac:dyDescent="0.3">
      <c r="A7" s="103" t="s">
        <v>117</v>
      </c>
      <c r="B7" s="104"/>
      <c r="C7" s="104"/>
      <c r="D7" s="104"/>
      <c r="E7" s="105"/>
      <c r="G7" s="103" t="s">
        <v>114</v>
      </c>
      <c r="H7" s="104"/>
      <c r="I7" s="104"/>
      <c r="J7" s="104"/>
      <c r="K7" s="105"/>
    </row>
    <row r="8" spans="1:11" x14ac:dyDescent="0.25">
      <c r="A8" s="91">
        <v>2017</v>
      </c>
      <c r="B8" s="91">
        <v>2018</v>
      </c>
      <c r="C8" s="91">
        <v>2019</v>
      </c>
      <c r="D8" s="91">
        <v>2020</v>
      </c>
      <c r="E8" s="91">
        <v>2021</v>
      </c>
      <c r="G8" s="91">
        <v>2017</v>
      </c>
      <c r="H8" s="91">
        <v>2018</v>
      </c>
      <c r="I8" s="91">
        <v>2019</v>
      </c>
      <c r="J8" s="91">
        <v>2020</v>
      </c>
      <c r="K8" s="91">
        <v>2021</v>
      </c>
    </row>
    <row r="9" spans="1:11" x14ac:dyDescent="0.25">
      <c r="A9" s="92">
        <v>1.89</v>
      </c>
      <c r="B9" s="92">
        <v>1.97</v>
      </c>
      <c r="C9" s="92">
        <v>2.02</v>
      </c>
      <c r="D9" s="92">
        <v>2.09</v>
      </c>
      <c r="E9" s="92">
        <v>2.21</v>
      </c>
      <c r="G9" s="92">
        <v>0.73</v>
      </c>
      <c r="H9" s="92">
        <v>0.78</v>
      </c>
      <c r="I9" s="92">
        <v>0.84</v>
      </c>
      <c r="J9" s="92">
        <v>0.88</v>
      </c>
      <c r="K9" s="92">
        <v>0.93</v>
      </c>
    </row>
  </sheetData>
  <mergeCells count="6">
    <mergeCell ref="A2:E2"/>
    <mergeCell ref="G2:K2"/>
    <mergeCell ref="A7:E7"/>
    <mergeCell ref="A6:E6"/>
    <mergeCell ref="G6:K6"/>
    <mergeCell ref="G7:K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tabSelected="1" workbookViewId="0">
      <selection activeCell="R22" sqref="R22"/>
    </sheetView>
  </sheetViews>
  <sheetFormatPr defaultRowHeight="15" x14ac:dyDescent="0.25"/>
  <sheetData>
    <row r="1" spans="1:19" x14ac:dyDescent="0.25">
      <c r="A1" s="114" t="s">
        <v>122</v>
      </c>
      <c r="B1" s="114"/>
      <c r="C1" s="114"/>
      <c r="D1" s="114"/>
      <c r="E1" s="114"/>
      <c r="O1" s="113" t="s">
        <v>118</v>
      </c>
      <c r="P1" s="113"/>
      <c r="Q1" s="113"/>
      <c r="R1" s="113"/>
      <c r="S1" s="113"/>
    </row>
    <row r="2" spans="1:19" x14ac:dyDescent="0.25">
      <c r="A2" s="90">
        <v>2017</v>
      </c>
      <c r="B2" s="90">
        <v>2018</v>
      </c>
      <c r="C2" s="90">
        <v>2019</v>
      </c>
      <c r="D2" s="90">
        <v>2020</v>
      </c>
      <c r="E2" s="90">
        <v>2021</v>
      </c>
    </row>
    <row r="3" spans="1:19" x14ac:dyDescent="0.25">
      <c r="A3" s="92">
        <f>0.057*100</f>
        <v>5.7</v>
      </c>
      <c r="B3" s="92">
        <f>8365/285434*100</f>
        <v>2.9306249430691511</v>
      </c>
      <c r="C3" s="92">
        <f>7134/349628*100</f>
        <v>2.0404544258469</v>
      </c>
      <c r="D3" s="92">
        <f>6541/396704*100</f>
        <v>1.64883641203517</v>
      </c>
      <c r="E3" s="92">
        <f>2380/443372*100</f>
        <v>0.5367952870275976</v>
      </c>
      <c r="O3" s="100" t="s">
        <v>119</v>
      </c>
      <c r="P3" s="101"/>
      <c r="Q3" s="101"/>
      <c r="R3" s="101"/>
      <c r="S3" s="102"/>
    </row>
    <row r="4" spans="1:19" x14ac:dyDescent="0.25">
      <c r="O4" s="6">
        <v>2017</v>
      </c>
      <c r="P4" s="6">
        <v>2018</v>
      </c>
      <c r="Q4" s="6">
        <v>2019</v>
      </c>
      <c r="R4" s="6">
        <v>2020</v>
      </c>
      <c r="S4" s="6">
        <v>2021</v>
      </c>
    </row>
    <row r="5" spans="1:19" x14ac:dyDescent="0.25">
      <c r="A5" s="114" t="s">
        <v>123</v>
      </c>
      <c r="B5" s="114"/>
      <c r="C5" s="114"/>
      <c r="D5" s="114"/>
      <c r="E5" s="114"/>
      <c r="O5" s="6">
        <v>0.69</v>
      </c>
      <c r="P5" s="6">
        <v>12</v>
      </c>
      <c r="Q5" s="6">
        <v>9</v>
      </c>
      <c r="R5" s="6">
        <v>6</v>
      </c>
      <c r="S5" s="6">
        <v>16</v>
      </c>
    </row>
    <row r="6" spans="1:19" x14ac:dyDescent="0.25">
      <c r="A6" s="90">
        <v>2017</v>
      </c>
      <c r="B6" s="90">
        <v>2018</v>
      </c>
      <c r="C6" s="90">
        <v>2019</v>
      </c>
      <c r="D6" s="90">
        <v>2020</v>
      </c>
      <c r="E6" s="90">
        <v>2021</v>
      </c>
    </row>
    <row r="7" spans="1:19" x14ac:dyDescent="0.25">
      <c r="A7" s="92">
        <f>6954/23154*100</f>
        <v>30.033687483804094</v>
      </c>
      <c r="B7" s="92">
        <f>8365/31375*100</f>
        <v>26.661354581673308</v>
      </c>
      <c r="C7" s="92">
        <f>7134/32127*100</f>
        <v>22.205621439910356</v>
      </c>
      <c r="D7" s="92">
        <f>6541/33639*100</f>
        <v>19.444692172775646</v>
      </c>
      <c r="E7" s="92">
        <f>2380/23212*100</f>
        <v>10.253317249698432</v>
      </c>
      <c r="O7" s="100" t="s">
        <v>120</v>
      </c>
      <c r="P7" s="101"/>
      <c r="Q7" s="101"/>
      <c r="R7" s="101"/>
      <c r="S7" s="102"/>
    </row>
    <row r="8" spans="1:19" x14ac:dyDescent="0.25">
      <c r="O8" s="6">
        <v>2017</v>
      </c>
      <c r="P8" s="6">
        <v>2018</v>
      </c>
      <c r="Q8" s="6">
        <v>2019</v>
      </c>
      <c r="R8" s="6">
        <v>2020</v>
      </c>
      <c r="S8" s="6">
        <v>2021</v>
      </c>
    </row>
    <row r="9" spans="1:19" x14ac:dyDescent="0.25">
      <c r="A9" s="114" t="s">
        <v>121</v>
      </c>
      <c r="B9" s="114"/>
      <c r="C9" s="114"/>
      <c r="D9" s="114"/>
      <c r="E9" s="114"/>
      <c r="O9" s="6">
        <v>29</v>
      </c>
      <c r="P9" s="6">
        <v>18</v>
      </c>
      <c r="Q9" s="6">
        <v>15</v>
      </c>
      <c r="R9" s="6">
        <v>10</v>
      </c>
      <c r="S9" s="6">
        <v>28</v>
      </c>
    </row>
    <row r="10" spans="1:19" x14ac:dyDescent="0.25">
      <c r="A10" s="90">
        <v>2017</v>
      </c>
      <c r="B10" s="90">
        <v>2018</v>
      </c>
      <c r="C10" s="90">
        <v>2019</v>
      </c>
      <c r="D10" s="90">
        <v>2020</v>
      </c>
      <c r="E10" s="90">
        <v>2021</v>
      </c>
    </row>
    <row r="11" spans="1:19" x14ac:dyDescent="0.25">
      <c r="A11" s="92">
        <f>8.8/109*100</f>
        <v>8.0733944954128454</v>
      </c>
      <c r="B11" s="92">
        <f>15/80*100</f>
        <v>18.75</v>
      </c>
      <c r="C11" s="92">
        <f>22.5/129*100</f>
        <v>17.441860465116278</v>
      </c>
      <c r="D11" s="92">
        <f>21/136*100</f>
        <v>15.441176470588236</v>
      </c>
      <c r="E11" s="92">
        <f>17/112*100</f>
        <v>15.178571428571427</v>
      </c>
      <c r="O11" s="100" t="s">
        <v>121</v>
      </c>
      <c r="P11" s="101"/>
      <c r="Q11" s="101"/>
      <c r="R11" s="101"/>
      <c r="S11" s="102"/>
    </row>
    <row r="12" spans="1:19" x14ac:dyDescent="0.25">
      <c r="O12" s="6">
        <v>2017</v>
      </c>
      <c r="P12" s="6">
        <v>2018</v>
      </c>
      <c r="Q12" s="6">
        <v>2019</v>
      </c>
      <c r="R12" s="6">
        <v>2020</v>
      </c>
      <c r="S12" s="6">
        <v>2021</v>
      </c>
    </row>
    <row r="13" spans="1:19" x14ac:dyDescent="0.25">
      <c r="O13" s="6">
        <v>28</v>
      </c>
      <c r="P13" s="6">
        <v>25</v>
      </c>
      <c r="Q13" s="6">
        <v>20</v>
      </c>
      <c r="R13" s="6">
        <v>42</v>
      </c>
      <c r="S13" s="6">
        <v>27</v>
      </c>
    </row>
  </sheetData>
  <mergeCells count="7">
    <mergeCell ref="O1:S1"/>
    <mergeCell ref="O3:S3"/>
    <mergeCell ref="O7:S7"/>
    <mergeCell ref="O11:S11"/>
    <mergeCell ref="A1:E1"/>
    <mergeCell ref="A5:E5"/>
    <mergeCell ref="A9:E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2"/>
  <sheetViews>
    <sheetView topLeftCell="A28" workbookViewId="0">
      <selection activeCell="K111" sqref="K111"/>
    </sheetView>
  </sheetViews>
  <sheetFormatPr defaultColWidth="8.85546875" defaultRowHeight="15" x14ac:dyDescent="0.25"/>
  <cols>
    <col min="4" max="6" width="5.140625" bestFit="1" customWidth="1"/>
    <col min="7" max="8" width="5.42578125" bestFit="1" customWidth="1"/>
  </cols>
  <sheetData>
    <row r="1" spans="1:15" x14ac:dyDescent="0.25">
      <c r="A1" s="107" t="s">
        <v>89</v>
      </c>
      <c r="B1" s="107"/>
      <c r="C1" s="107"/>
      <c r="D1" s="107"/>
      <c r="E1" s="107"/>
      <c r="F1" s="107"/>
      <c r="G1" s="107"/>
    </row>
    <row r="2" spans="1:15" x14ac:dyDescent="0.25">
      <c r="A2" s="107"/>
      <c r="B2" s="107"/>
      <c r="C2" s="107"/>
      <c r="D2" s="107"/>
      <c r="E2" s="107"/>
      <c r="F2" s="107"/>
      <c r="G2" s="107"/>
    </row>
    <row r="3" spans="1:15" x14ac:dyDescent="0.25">
      <c r="A3" s="107"/>
      <c r="B3" s="107"/>
      <c r="C3" s="107"/>
      <c r="D3" s="107"/>
      <c r="E3" s="107"/>
      <c r="F3" s="107"/>
      <c r="G3" s="107"/>
    </row>
    <row r="4" spans="1:15" x14ac:dyDescent="0.25">
      <c r="A4" s="107"/>
      <c r="B4" s="107"/>
      <c r="C4" s="107"/>
      <c r="D4" s="107"/>
      <c r="E4" s="107"/>
      <c r="F4" s="107"/>
      <c r="G4" s="107"/>
    </row>
    <row r="5" spans="1:15" x14ac:dyDescent="0.25">
      <c r="A5" s="107"/>
      <c r="B5" s="107"/>
      <c r="C5" s="107"/>
      <c r="D5" s="107"/>
      <c r="E5" s="107"/>
      <c r="F5" s="107"/>
      <c r="G5" s="107"/>
    </row>
    <row r="6" spans="1:15" x14ac:dyDescent="0.25">
      <c r="A6" s="107"/>
      <c r="B6" s="107"/>
      <c r="C6" s="107"/>
      <c r="D6" s="107"/>
      <c r="E6" s="107"/>
      <c r="F6" s="107"/>
      <c r="G6" s="107"/>
    </row>
    <row r="8" spans="1:15" x14ac:dyDescent="0.25">
      <c r="K8" s="108" t="s">
        <v>90</v>
      </c>
      <c r="L8" s="108"/>
      <c r="M8" s="108"/>
      <c r="N8" s="108"/>
      <c r="O8" s="108"/>
    </row>
    <row r="9" spans="1:15" x14ac:dyDescent="0.25">
      <c r="D9" s="87">
        <v>2017</v>
      </c>
      <c r="E9" s="87">
        <v>2018</v>
      </c>
      <c r="F9" s="87">
        <v>2019</v>
      </c>
      <c r="G9" s="87">
        <v>2020</v>
      </c>
      <c r="H9" s="87">
        <v>2021</v>
      </c>
      <c r="K9" s="108"/>
      <c r="L9" s="108"/>
      <c r="M9" s="108"/>
      <c r="N9" s="108"/>
      <c r="O9" s="108"/>
    </row>
    <row r="10" spans="1:15" x14ac:dyDescent="0.25">
      <c r="D10" s="88">
        <v>0.19052869779880682</v>
      </c>
      <c r="E10" s="88">
        <v>0.10992033184554048</v>
      </c>
      <c r="F10" s="88">
        <v>9.1889093550859766E-2</v>
      </c>
      <c r="G10" s="88">
        <v>8.479622085988546E-2</v>
      </c>
      <c r="H10" s="88">
        <v>5.2353328581868044E-2</v>
      </c>
      <c r="K10" s="108"/>
      <c r="L10" s="108"/>
      <c r="M10" s="108"/>
      <c r="N10" s="108"/>
      <c r="O10" s="108"/>
    </row>
    <row r="11" spans="1:15" x14ac:dyDescent="0.25">
      <c r="K11" s="108"/>
      <c r="L11" s="108"/>
      <c r="M11" s="108"/>
      <c r="N11" s="108"/>
      <c r="O11" s="108"/>
    </row>
    <row r="12" spans="1:15" x14ac:dyDescent="0.25">
      <c r="K12" s="108"/>
      <c r="L12" s="108"/>
      <c r="M12" s="108"/>
      <c r="N12" s="108"/>
      <c r="O12" s="108"/>
    </row>
    <row r="13" spans="1:15" x14ac:dyDescent="0.25">
      <c r="K13" s="108"/>
      <c r="L13" s="108"/>
      <c r="M13" s="108"/>
      <c r="N13" s="108"/>
      <c r="O13" s="108"/>
    </row>
    <row r="14" spans="1:15" x14ac:dyDescent="0.25">
      <c r="K14" s="108"/>
      <c r="L14" s="108"/>
      <c r="M14" s="108"/>
      <c r="N14" s="108"/>
      <c r="O14" s="108"/>
    </row>
    <row r="15" spans="1:15" x14ac:dyDescent="0.25">
      <c r="K15" s="108"/>
      <c r="L15" s="108"/>
      <c r="M15" s="108"/>
      <c r="N15" s="108"/>
      <c r="O15" s="108"/>
    </row>
    <row r="16" spans="1:15" x14ac:dyDescent="0.25">
      <c r="K16" s="108"/>
      <c r="L16" s="108"/>
      <c r="M16" s="108"/>
      <c r="N16" s="108"/>
      <c r="O16" s="108"/>
    </row>
    <row r="19" spans="1:15" x14ac:dyDescent="0.25">
      <c r="A19" s="107" t="s">
        <v>91</v>
      </c>
      <c r="B19" s="107"/>
      <c r="C19" s="107"/>
      <c r="D19" s="107"/>
      <c r="E19" s="107"/>
      <c r="F19" s="107"/>
      <c r="G19" s="107"/>
    </row>
    <row r="20" spans="1:15" x14ac:dyDescent="0.25">
      <c r="A20" s="107"/>
      <c r="B20" s="107"/>
      <c r="C20" s="107"/>
      <c r="D20" s="107"/>
      <c r="E20" s="107"/>
      <c r="F20" s="107"/>
      <c r="G20" s="107"/>
    </row>
    <row r="21" spans="1:15" x14ac:dyDescent="0.25">
      <c r="A21" s="107"/>
      <c r="B21" s="107"/>
      <c r="C21" s="107"/>
      <c r="D21" s="107"/>
      <c r="E21" s="107"/>
      <c r="F21" s="107"/>
      <c r="G21" s="107"/>
    </row>
    <row r="22" spans="1:15" x14ac:dyDescent="0.25">
      <c r="A22" s="107"/>
      <c r="B22" s="107"/>
      <c r="C22" s="107"/>
      <c r="D22" s="107"/>
      <c r="E22" s="107"/>
      <c r="F22" s="107"/>
      <c r="G22" s="107"/>
    </row>
    <row r="23" spans="1:15" x14ac:dyDescent="0.25">
      <c r="A23" s="107"/>
      <c r="B23" s="107"/>
      <c r="C23" s="107"/>
      <c r="D23" s="107"/>
      <c r="E23" s="107"/>
      <c r="F23" s="107"/>
      <c r="G23" s="107"/>
    </row>
    <row r="24" spans="1:15" x14ac:dyDescent="0.25">
      <c r="A24" s="107"/>
      <c r="B24" s="107"/>
      <c r="C24" s="107"/>
      <c r="D24" s="107"/>
      <c r="E24" s="107"/>
      <c r="F24" s="107"/>
      <c r="G24" s="107"/>
    </row>
    <row r="26" spans="1:15" x14ac:dyDescent="0.25">
      <c r="K26" s="108" t="s">
        <v>92</v>
      </c>
      <c r="L26" s="108"/>
      <c r="M26" s="108"/>
      <c r="N26" s="108"/>
      <c r="O26" s="108"/>
    </row>
    <row r="27" spans="1:15" x14ac:dyDescent="0.25">
      <c r="D27" s="87">
        <v>2017</v>
      </c>
      <c r="E27" s="87">
        <v>2018</v>
      </c>
      <c r="F27" s="87">
        <v>2019</v>
      </c>
      <c r="G27" s="87">
        <v>2020</v>
      </c>
      <c r="H27" s="87">
        <v>2021</v>
      </c>
      <c r="K27" s="108"/>
      <c r="L27" s="108"/>
      <c r="M27" s="108"/>
      <c r="N27" s="108"/>
      <c r="O27" s="108"/>
    </row>
    <row r="28" spans="1:15" x14ac:dyDescent="0.25">
      <c r="D28" s="88">
        <v>0.19059452787492284</v>
      </c>
      <c r="E28" s="88">
        <v>0.44859056734656699</v>
      </c>
      <c r="F28" s="88">
        <v>0.64860651892868992</v>
      </c>
      <c r="G28" s="88">
        <v>0.60439773735581193</v>
      </c>
      <c r="H28" s="88">
        <v>0.49560639823895059</v>
      </c>
      <c r="K28" s="108"/>
      <c r="L28" s="108"/>
      <c r="M28" s="108"/>
      <c r="N28" s="108"/>
      <c r="O28" s="108"/>
    </row>
    <row r="29" spans="1:15" x14ac:dyDescent="0.25">
      <c r="K29" s="108"/>
      <c r="L29" s="108"/>
      <c r="M29" s="108"/>
      <c r="N29" s="108"/>
      <c r="O29" s="108"/>
    </row>
    <row r="30" spans="1:15" x14ac:dyDescent="0.25">
      <c r="K30" s="108"/>
      <c r="L30" s="108"/>
      <c r="M30" s="108"/>
      <c r="N30" s="108"/>
      <c r="O30" s="108"/>
    </row>
    <row r="31" spans="1:15" x14ac:dyDescent="0.25">
      <c r="K31" s="108"/>
      <c r="L31" s="108"/>
      <c r="M31" s="108"/>
      <c r="N31" s="108"/>
      <c r="O31" s="108"/>
    </row>
    <row r="32" spans="1:15" x14ac:dyDescent="0.25">
      <c r="K32" s="108"/>
      <c r="L32" s="108"/>
      <c r="M32" s="108"/>
      <c r="N32" s="108"/>
      <c r="O32" s="108"/>
    </row>
    <row r="33" spans="1:15" x14ac:dyDescent="0.25">
      <c r="K33" s="108"/>
      <c r="L33" s="108"/>
      <c r="M33" s="108"/>
      <c r="N33" s="108"/>
      <c r="O33" s="108"/>
    </row>
    <row r="34" spans="1:15" x14ac:dyDescent="0.25">
      <c r="K34" s="108"/>
      <c r="L34" s="108"/>
      <c r="M34" s="108"/>
      <c r="N34" s="108"/>
      <c r="O34" s="108"/>
    </row>
    <row r="37" spans="1:15" x14ac:dyDescent="0.25">
      <c r="A37" s="107" t="s">
        <v>93</v>
      </c>
      <c r="B37" s="107"/>
      <c r="C37" s="107"/>
      <c r="D37" s="107"/>
      <c r="E37" s="107"/>
      <c r="F37" s="107"/>
      <c r="G37" s="107"/>
    </row>
    <row r="38" spans="1:15" x14ac:dyDescent="0.25">
      <c r="A38" s="107"/>
      <c r="B38" s="107"/>
      <c r="C38" s="107"/>
      <c r="D38" s="107"/>
      <c r="E38" s="107"/>
      <c r="F38" s="107"/>
      <c r="G38" s="107"/>
    </row>
    <row r="39" spans="1:15" x14ac:dyDescent="0.25">
      <c r="A39" s="107"/>
      <c r="B39" s="107"/>
      <c r="C39" s="107"/>
      <c r="D39" s="107"/>
      <c r="E39" s="107"/>
      <c r="F39" s="107"/>
      <c r="G39" s="107"/>
    </row>
    <row r="40" spans="1:15" x14ac:dyDescent="0.25">
      <c r="A40" s="107"/>
      <c r="B40" s="107"/>
      <c r="C40" s="107"/>
      <c r="D40" s="107"/>
      <c r="E40" s="107"/>
      <c r="F40" s="107"/>
      <c r="G40" s="107"/>
    </row>
    <row r="41" spans="1:15" x14ac:dyDescent="0.25">
      <c r="A41" s="107"/>
      <c r="B41" s="107"/>
      <c r="C41" s="107"/>
      <c r="D41" s="107"/>
      <c r="E41" s="107"/>
      <c r="F41" s="107"/>
      <c r="G41" s="107"/>
    </row>
    <row r="42" spans="1:15" x14ac:dyDescent="0.25">
      <c r="A42" s="107"/>
      <c r="B42" s="107"/>
      <c r="C42" s="107"/>
      <c r="D42" s="107"/>
      <c r="E42" s="107"/>
      <c r="F42" s="107"/>
      <c r="G42" s="107"/>
    </row>
    <row r="44" spans="1:15" x14ac:dyDescent="0.25">
      <c r="K44" s="108" t="s">
        <v>94</v>
      </c>
      <c r="L44" s="108"/>
      <c r="M44" s="108"/>
      <c r="N44" s="108"/>
      <c r="O44" s="108"/>
    </row>
    <row r="45" spans="1:15" x14ac:dyDescent="0.25">
      <c r="D45" s="87">
        <v>2017</v>
      </c>
      <c r="E45" s="87">
        <v>2018</v>
      </c>
      <c r="F45" s="87">
        <v>2019</v>
      </c>
      <c r="G45" s="87">
        <v>2020</v>
      </c>
      <c r="H45" s="87">
        <v>2021</v>
      </c>
      <c r="K45" s="108"/>
      <c r="L45" s="108"/>
      <c r="M45" s="108"/>
      <c r="N45" s="108"/>
      <c r="O45" s="108"/>
    </row>
    <row r="46" spans="1:15" x14ac:dyDescent="0.25">
      <c r="D46" s="88">
        <v>0.80947130220119312</v>
      </c>
      <c r="E46" s="88">
        <v>0.89007966815445949</v>
      </c>
      <c r="F46" s="88">
        <v>0.90811090644914028</v>
      </c>
      <c r="G46" s="88">
        <v>0.91520377914011453</v>
      </c>
      <c r="H46" s="88">
        <v>0.94764667141813197</v>
      </c>
      <c r="K46" s="108"/>
      <c r="L46" s="108"/>
      <c r="M46" s="108"/>
      <c r="N46" s="108"/>
      <c r="O46" s="108"/>
    </row>
    <row r="47" spans="1:15" x14ac:dyDescent="0.25">
      <c r="K47" s="108"/>
      <c r="L47" s="108"/>
      <c r="M47" s="108"/>
      <c r="N47" s="108"/>
      <c r="O47" s="108"/>
    </row>
    <row r="48" spans="1:15" x14ac:dyDescent="0.25">
      <c r="K48" s="108"/>
      <c r="L48" s="108"/>
      <c r="M48" s="108"/>
      <c r="N48" s="108"/>
      <c r="O48" s="108"/>
    </row>
    <row r="49" spans="1:15" x14ac:dyDescent="0.25">
      <c r="K49" s="108"/>
      <c r="L49" s="108"/>
      <c r="M49" s="108"/>
      <c r="N49" s="108"/>
      <c r="O49" s="108"/>
    </row>
    <row r="50" spans="1:15" x14ac:dyDescent="0.25">
      <c r="K50" s="108"/>
      <c r="L50" s="108"/>
      <c r="M50" s="108"/>
      <c r="N50" s="108"/>
      <c r="O50" s="108"/>
    </row>
    <row r="51" spans="1:15" x14ac:dyDescent="0.25">
      <c r="K51" s="108"/>
      <c r="L51" s="108"/>
      <c r="M51" s="108"/>
      <c r="N51" s="108"/>
      <c r="O51" s="108"/>
    </row>
    <row r="52" spans="1:15" x14ac:dyDescent="0.25">
      <c r="K52" s="108"/>
      <c r="L52" s="108"/>
      <c r="M52" s="108"/>
      <c r="N52" s="108"/>
      <c r="O52" s="108"/>
    </row>
    <row r="55" spans="1:15" x14ac:dyDescent="0.25">
      <c r="A55" s="107" t="s">
        <v>95</v>
      </c>
      <c r="B55" s="107"/>
      <c r="C55" s="107"/>
      <c r="D55" s="107"/>
      <c r="E55" s="107"/>
      <c r="F55" s="107"/>
      <c r="G55" s="107"/>
    </row>
    <row r="56" spans="1:15" x14ac:dyDescent="0.25">
      <c r="A56" s="107"/>
      <c r="B56" s="107"/>
      <c r="C56" s="107"/>
      <c r="D56" s="107"/>
      <c r="E56" s="107"/>
      <c r="F56" s="107"/>
      <c r="G56" s="107"/>
    </row>
    <row r="57" spans="1:15" x14ac:dyDescent="0.25">
      <c r="A57" s="107"/>
      <c r="B57" s="107"/>
      <c r="C57" s="107"/>
      <c r="D57" s="107"/>
      <c r="E57" s="107"/>
      <c r="F57" s="107"/>
      <c r="G57" s="107"/>
    </row>
    <row r="58" spans="1:15" x14ac:dyDescent="0.25">
      <c r="A58" s="107"/>
      <c r="B58" s="107"/>
      <c r="C58" s="107"/>
      <c r="D58" s="107"/>
      <c r="E58" s="107"/>
      <c r="F58" s="107"/>
      <c r="G58" s="107"/>
    </row>
    <row r="59" spans="1:15" x14ac:dyDescent="0.25">
      <c r="A59" s="107"/>
      <c r="B59" s="107"/>
      <c r="C59" s="107"/>
      <c r="D59" s="107"/>
      <c r="E59" s="107"/>
      <c r="F59" s="107"/>
      <c r="G59" s="107"/>
    </row>
    <row r="60" spans="1:15" x14ac:dyDescent="0.25">
      <c r="A60" s="107"/>
      <c r="B60" s="107"/>
      <c r="C60" s="107"/>
      <c r="D60" s="107"/>
      <c r="E60" s="107"/>
      <c r="F60" s="107"/>
      <c r="G60" s="107"/>
    </row>
    <row r="62" spans="1:15" x14ac:dyDescent="0.25">
      <c r="K62" s="108" t="s">
        <v>96</v>
      </c>
      <c r="L62" s="108"/>
      <c r="M62" s="108"/>
      <c r="N62" s="108"/>
      <c r="O62" s="108"/>
    </row>
    <row r="63" spans="1:15" x14ac:dyDescent="0.25">
      <c r="D63" s="87">
        <v>2017</v>
      </c>
      <c r="E63" s="87">
        <v>2018</v>
      </c>
      <c r="F63" s="87">
        <v>2019</v>
      </c>
      <c r="G63" s="87">
        <v>2020</v>
      </c>
      <c r="H63" s="87">
        <v>2021</v>
      </c>
      <c r="K63" s="108"/>
      <c r="L63" s="108"/>
      <c r="M63" s="108"/>
      <c r="N63" s="108"/>
      <c r="O63" s="108"/>
    </row>
    <row r="64" spans="1:15" x14ac:dyDescent="0.25">
      <c r="D64" s="88">
        <v>-5.2012016921787821E-3</v>
      </c>
      <c r="E64" s="88">
        <v>-0.35894583130519436</v>
      </c>
      <c r="F64" s="88">
        <v>-0.66303157916791067</v>
      </c>
      <c r="G64" s="88">
        <v>-0.58429515851024372</v>
      </c>
      <c r="H64" s="88">
        <v>-0.60978992578629365</v>
      </c>
      <c r="K64" s="108"/>
      <c r="L64" s="108"/>
      <c r="M64" s="108"/>
      <c r="N64" s="108"/>
      <c r="O64" s="108"/>
    </row>
    <row r="65" spans="1:15" x14ac:dyDescent="0.25">
      <c r="K65" s="108"/>
      <c r="L65" s="108"/>
      <c r="M65" s="108"/>
      <c r="N65" s="108"/>
      <c r="O65" s="108"/>
    </row>
    <row r="66" spans="1:15" x14ac:dyDescent="0.25">
      <c r="K66" s="108"/>
      <c r="L66" s="108"/>
      <c r="M66" s="108"/>
      <c r="N66" s="108"/>
      <c r="O66" s="108"/>
    </row>
    <row r="67" spans="1:15" x14ac:dyDescent="0.25">
      <c r="K67" s="108"/>
      <c r="L67" s="108"/>
      <c r="M67" s="108"/>
      <c r="N67" s="108"/>
      <c r="O67" s="108"/>
    </row>
    <row r="68" spans="1:15" x14ac:dyDescent="0.25">
      <c r="K68" s="108"/>
      <c r="L68" s="108"/>
      <c r="M68" s="108"/>
      <c r="N68" s="108"/>
      <c r="O68" s="108"/>
    </row>
    <row r="69" spans="1:15" x14ac:dyDescent="0.25">
      <c r="K69" s="108"/>
      <c r="L69" s="108"/>
      <c r="M69" s="108"/>
      <c r="N69" s="108"/>
      <c r="O69" s="108"/>
    </row>
    <row r="70" spans="1:15" x14ac:dyDescent="0.25">
      <c r="K70" s="108"/>
      <c r="L70" s="108"/>
      <c r="M70" s="108"/>
      <c r="N70" s="108"/>
      <c r="O70" s="108"/>
    </row>
    <row r="73" spans="1:15" x14ac:dyDescent="0.25">
      <c r="A73" s="107" t="s">
        <v>97</v>
      </c>
      <c r="B73" s="107"/>
      <c r="C73" s="107"/>
      <c r="D73" s="107"/>
      <c r="E73" s="107"/>
      <c r="F73" s="107"/>
      <c r="G73" s="107"/>
    </row>
    <row r="74" spans="1:15" x14ac:dyDescent="0.25">
      <c r="A74" s="107"/>
      <c r="B74" s="107"/>
      <c r="C74" s="107"/>
      <c r="D74" s="107"/>
      <c r="E74" s="107"/>
      <c r="F74" s="107"/>
      <c r="G74" s="107"/>
    </row>
    <row r="75" spans="1:15" x14ac:dyDescent="0.25">
      <c r="A75" s="107"/>
      <c r="B75" s="107"/>
      <c r="C75" s="107"/>
      <c r="D75" s="107"/>
      <c r="E75" s="107"/>
      <c r="F75" s="107"/>
      <c r="G75" s="107"/>
    </row>
    <row r="76" spans="1:15" x14ac:dyDescent="0.25">
      <c r="A76" s="107"/>
      <c r="B76" s="107"/>
      <c r="C76" s="107"/>
      <c r="D76" s="107"/>
      <c r="E76" s="107"/>
      <c r="F76" s="107"/>
      <c r="G76" s="107"/>
    </row>
    <row r="77" spans="1:15" x14ac:dyDescent="0.25">
      <c r="A77" s="107"/>
      <c r="B77" s="107"/>
      <c r="C77" s="107"/>
      <c r="D77" s="107"/>
      <c r="E77" s="107"/>
      <c r="F77" s="107"/>
      <c r="G77" s="107"/>
    </row>
    <row r="78" spans="1:15" x14ac:dyDescent="0.25">
      <c r="A78" s="107"/>
      <c r="B78" s="107"/>
      <c r="C78" s="107"/>
      <c r="D78" s="107"/>
      <c r="E78" s="107"/>
      <c r="F78" s="107"/>
      <c r="G78" s="107"/>
    </row>
    <row r="80" spans="1:15" x14ac:dyDescent="0.25">
      <c r="K80" s="108" t="s">
        <v>98</v>
      </c>
      <c r="L80" s="108"/>
      <c r="M80" s="108"/>
      <c r="N80" s="108"/>
      <c r="O80" s="108"/>
    </row>
    <row r="81" spans="1:15" x14ac:dyDescent="0.25">
      <c r="D81" s="87">
        <v>2017</v>
      </c>
      <c r="E81" s="87">
        <v>2018</v>
      </c>
      <c r="F81" s="87">
        <v>2019</v>
      </c>
      <c r="G81" s="87">
        <v>2020</v>
      </c>
      <c r="H81" s="87">
        <v>2021</v>
      </c>
      <c r="K81" s="108"/>
      <c r="L81" s="108"/>
      <c r="M81" s="108"/>
      <c r="N81" s="108"/>
      <c r="O81" s="108"/>
    </row>
    <row r="82" spans="1:15" x14ac:dyDescent="0.25">
      <c r="D82" s="88">
        <v>4.248553165759696</v>
      </c>
      <c r="E82" s="88">
        <v>8.0974980079681274</v>
      </c>
      <c r="F82" s="88">
        <v>9.8826843464998291</v>
      </c>
      <c r="G82" s="88">
        <v>10.792978388180385</v>
      </c>
      <c r="H82" s="88">
        <v>18.100982250560055</v>
      </c>
      <c r="K82" s="108"/>
      <c r="L82" s="108"/>
      <c r="M82" s="108"/>
      <c r="N82" s="108"/>
      <c r="O82" s="108"/>
    </row>
    <row r="83" spans="1:15" x14ac:dyDescent="0.25">
      <c r="K83" s="108"/>
      <c r="L83" s="108"/>
      <c r="M83" s="108"/>
      <c r="N83" s="108"/>
      <c r="O83" s="108"/>
    </row>
    <row r="84" spans="1:15" x14ac:dyDescent="0.25">
      <c r="K84" s="108"/>
      <c r="L84" s="108"/>
      <c r="M84" s="108"/>
      <c r="N84" s="108"/>
      <c r="O84" s="108"/>
    </row>
    <row r="85" spans="1:15" x14ac:dyDescent="0.25">
      <c r="K85" s="108"/>
      <c r="L85" s="108"/>
      <c r="M85" s="108"/>
      <c r="N85" s="108"/>
      <c r="O85" s="108"/>
    </row>
    <row r="86" spans="1:15" x14ac:dyDescent="0.25">
      <c r="K86" s="108"/>
      <c r="L86" s="108"/>
      <c r="M86" s="108"/>
      <c r="N86" s="108"/>
      <c r="O86" s="108"/>
    </row>
    <row r="87" spans="1:15" x14ac:dyDescent="0.25">
      <c r="K87" s="108"/>
      <c r="L87" s="108"/>
      <c r="M87" s="108"/>
      <c r="N87" s="108"/>
      <c r="O87" s="108"/>
    </row>
    <row r="88" spans="1:15" x14ac:dyDescent="0.25">
      <c r="K88" s="108"/>
      <c r="L88" s="108"/>
      <c r="M88" s="108"/>
      <c r="N88" s="108"/>
      <c r="O88" s="108"/>
    </row>
    <row r="91" spans="1:15" x14ac:dyDescent="0.25">
      <c r="A91" s="107" t="s">
        <v>99</v>
      </c>
      <c r="B91" s="107"/>
      <c r="C91" s="107"/>
      <c r="D91" s="107"/>
      <c r="E91" s="107"/>
      <c r="F91" s="107"/>
      <c r="G91" s="107"/>
    </row>
    <row r="92" spans="1:15" x14ac:dyDescent="0.25">
      <c r="A92" s="107"/>
      <c r="B92" s="107"/>
      <c r="C92" s="107"/>
      <c r="D92" s="107"/>
      <c r="E92" s="107"/>
      <c r="F92" s="107"/>
      <c r="G92" s="107"/>
    </row>
    <row r="93" spans="1:15" x14ac:dyDescent="0.25">
      <c r="A93" s="107"/>
      <c r="B93" s="107"/>
      <c r="C93" s="107"/>
      <c r="D93" s="107"/>
      <c r="E93" s="107"/>
      <c r="F93" s="107"/>
      <c r="G93" s="107"/>
    </row>
    <row r="94" spans="1:15" x14ac:dyDescent="0.25">
      <c r="A94" s="107"/>
      <c r="B94" s="107"/>
      <c r="C94" s="107"/>
      <c r="D94" s="107"/>
      <c r="E94" s="107"/>
      <c r="F94" s="107"/>
      <c r="G94" s="107"/>
    </row>
    <row r="95" spans="1:15" x14ac:dyDescent="0.25">
      <c r="A95" s="107"/>
      <c r="B95" s="107"/>
      <c r="C95" s="107"/>
      <c r="D95" s="107"/>
      <c r="E95" s="107"/>
      <c r="F95" s="107"/>
      <c r="G95" s="107"/>
    </row>
    <row r="96" spans="1:15" x14ac:dyDescent="0.25">
      <c r="A96" s="107"/>
      <c r="B96" s="107"/>
      <c r="C96" s="107"/>
      <c r="D96" s="107"/>
      <c r="E96" s="107"/>
      <c r="F96" s="107"/>
      <c r="G96" s="107"/>
    </row>
    <row r="98" spans="1:15" x14ac:dyDescent="0.25">
      <c r="K98" s="108" t="s">
        <v>100</v>
      </c>
      <c r="L98" s="108"/>
      <c r="M98" s="108"/>
      <c r="N98" s="108"/>
      <c r="O98" s="108"/>
    </row>
    <row r="99" spans="1:15" x14ac:dyDescent="0.25">
      <c r="D99" s="87">
        <v>2017</v>
      </c>
      <c r="E99" s="87">
        <v>2018</v>
      </c>
      <c r="F99" s="87">
        <v>2019</v>
      </c>
      <c r="G99" s="87">
        <v>2020</v>
      </c>
      <c r="H99" s="87">
        <v>2021</v>
      </c>
      <c r="K99" s="108"/>
      <c r="L99" s="108"/>
      <c r="M99" s="108"/>
      <c r="N99" s="108"/>
      <c r="O99" s="108"/>
    </row>
    <row r="100" spans="1:15" x14ac:dyDescent="0.25">
      <c r="D100" s="88">
        <v>0.23537424647507904</v>
      </c>
      <c r="E100" s="88">
        <v>0.12349493621560347</v>
      </c>
      <c r="F100" s="88">
        <v>0.10118708287532953</v>
      </c>
      <c r="G100" s="88">
        <v>9.2652830760332178E-2</v>
      </c>
      <c r="H100" s="88">
        <v>5.5245620715917744E-2</v>
      </c>
      <c r="K100" s="108"/>
      <c r="L100" s="108"/>
      <c r="M100" s="108"/>
      <c r="N100" s="108"/>
      <c r="O100" s="108"/>
    </row>
    <row r="101" spans="1:15" x14ac:dyDescent="0.25">
      <c r="K101" s="108"/>
      <c r="L101" s="108"/>
      <c r="M101" s="108"/>
      <c r="N101" s="108"/>
      <c r="O101" s="108"/>
    </row>
    <row r="102" spans="1:15" x14ac:dyDescent="0.25">
      <c r="K102" s="108"/>
      <c r="L102" s="108"/>
      <c r="M102" s="108"/>
      <c r="N102" s="108"/>
      <c r="O102" s="108"/>
    </row>
    <row r="103" spans="1:15" x14ac:dyDescent="0.25">
      <c r="K103" s="108"/>
      <c r="L103" s="108"/>
      <c r="M103" s="108"/>
      <c r="N103" s="108"/>
      <c r="O103" s="108"/>
    </row>
    <row r="104" spans="1:15" x14ac:dyDescent="0.25">
      <c r="K104" s="108"/>
      <c r="L104" s="108"/>
      <c r="M104" s="108"/>
      <c r="N104" s="108"/>
      <c r="O104" s="108"/>
    </row>
    <row r="105" spans="1:15" x14ac:dyDescent="0.25">
      <c r="K105" s="108"/>
      <c r="L105" s="108"/>
      <c r="M105" s="108"/>
      <c r="N105" s="108"/>
      <c r="O105" s="108"/>
    </row>
    <row r="106" spans="1:15" x14ac:dyDescent="0.25">
      <c r="K106" s="108"/>
      <c r="L106" s="108"/>
      <c r="M106" s="108"/>
      <c r="N106" s="108"/>
      <c r="O106" s="108"/>
    </row>
    <row r="109" spans="1:15" x14ac:dyDescent="0.25">
      <c r="A109" s="107" t="s">
        <v>101</v>
      </c>
      <c r="B109" s="107"/>
      <c r="C109" s="107"/>
      <c r="D109" s="107"/>
      <c r="E109" s="107"/>
      <c r="F109" s="107"/>
      <c r="G109" s="107"/>
    </row>
    <row r="110" spans="1:15" x14ac:dyDescent="0.25">
      <c r="A110" s="107"/>
      <c r="B110" s="107"/>
      <c r="C110" s="107"/>
      <c r="D110" s="107"/>
      <c r="E110" s="107"/>
      <c r="F110" s="107"/>
      <c r="G110" s="107"/>
    </row>
    <row r="111" spans="1:15" x14ac:dyDescent="0.25">
      <c r="A111" s="107"/>
      <c r="B111" s="107"/>
      <c r="C111" s="107"/>
      <c r="D111" s="107"/>
      <c r="E111" s="107"/>
      <c r="F111" s="107"/>
      <c r="G111" s="107"/>
    </row>
    <row r="112" spans="1:15" x14ac:dyDescent="0.25">
      <c r="A112" s="107"/>
      <c r="B112" s="107"/>
      <c r="C112" s="107"/>
      <c r="D112" s="107"/>
      <c r="E112" s="107"/>
      <c r="F112" s="107"/>
      <c r="G112" s="107"/>
    </row>
    <row r="113" spans="1:15" x14ac:dyDescent="0.25">
      <c r="A113" s="107"/>
      <c r="B113" s="107"/>
      <c r="C113" s="107"/>
      <c r="D113" s="107"/>
      <c r="E113" s="107"/>
      <c r="F113" s="107"/>
      <c r="G113" s="107"/>
    </row>
    <row r="114" spans="1:15" x14ac:dyDescent="0.25">
      <c r="A114" s="107"/>
      <c r="B114" s="107"/>
      <c r="C114" s="107"/>
      <c r="D114" s="107"/>
      <c r="E114" s="107"/>
      <c r="F114" s="107"/>
      <c r="G114" s="107"/>
    </row>
    <row r="116" spans="1:15" x14ac:dyDescent="0.25">
      <c r="K116" s="108" t="s">
        <v>102</v>
      </c>
      <c r="L116" s="108"/>
      <c r="M116" s="108"/>
      <c r="N116" s="108"/>
      <c r="O116" s="108"/>
    </row>
    <row r="117" spans="1:15" x14ac:dyDescent="0.25">
      <c r="D117" s="87">
        <v>2017</v>
      </c>
      <c r="E117" s="87">
        <v>2018</v>
      </c>
      <c r="F117" s="87">
        <v>2019</v>
      </c>
      <c r="G117" s="87">
        <v>2020</v>
      </c>
      <c r="H117" s="87">
        <v>2021</v>
      </c>
      <c r="K117" s="108"/>
      <c r="L117" s="108"/>
      <c r="M117" s="108"/>
      <c r="N117" s="108"/>
      <c r="O117" s="108"/>
    </row>
    <row r="118" spans="1:15" x14ac:dyDescent="0.25">
      <c r="D118" s="88">
        <v>1.7272648760687453E-4</v>
      </c>
      <c r="E118" s="88">
        <v>0.60638070983201398</v>
      </c>
      <c r="F118" s="88">
        <v>0.75181731801713414</v>
      </c>
      <c r="G118" s="88">
        <v>0.7539263951778673</v>
      </c>
      <c r="H118" s="88">
        <v>0.80891541469438155</v>
      </c>
      <c r="K118" s="108"/>
      <c r="L118" s="108"/>
      <c r="M118" s="108"/>
      <c r="N118" s="108"/>
      <c r="O118" s="108"/>
    </row>
    <row r="119" spans="1:15" x14ac:dyDescent="0.25">
      <c r="K119" s="108"/>
      <c r="L119" s="108"/>
      <c r="M119" s="108"/>
      <c r="N119" s="108"/>
      <c r="O119" s="108"/>
    </row>
    <row r="120" spans="1:15" x14ac:dyDescent="0.25">
      <c r="K120" s="108"/>
      <c r="L120" s="108"/>
      <c r="M120" s="108"/>
      <c r="N120" s="108"/>
      <c r="O120" s="108"/>
    </row>
    <row r="121" spans="1:15" x14ac:dyDescent="0.25">
      <c r="K121" s="108"/>
      <c r="L121" s="108"/>
      <c r="M121" s="108"/>
      <c r="N121" s="108"/>
      <c r="O121" s="108"/>
    </row>
    <row r="122" spans="1:15" x14ac:dyDescent="0.25">
      <c r="K122" s="108"/>
      <c r="L122" s="108"/>
      <c r="M122" s="108"/>
      <c r="N122" s="108"/>
      <c r="O122" s="108"/>
    </row>
    <row r="123" spans="1:15" x14ac:dyDescent="0.25">
      <c r="K123" s="108"/>
      <c r="L123" s="108"/>
      <c r="M123" s="108"/>
      <c r="N123" s="108"/>
      <c r="O123" s="108"/>
    </row>
    <row r="124" spans="1:15" x14ac:dyDescent="0.25">
      <c r="K124" s="108"/>
      <c r="L124" s="108"/>
      <c r="M124" s="108"/>
      <c r="N124" s="108"/>
      <c r="O124" s="108"/>
    </row>
    <row r="127" spans="1:15" x14ac:dyDescent="0.25">
      <c r="A127" s="107" t="s">
        <v>103</v>
      </c>
      <c r="B127" s="107"/>
      <c r="C127" s="107"/>
      <c r="D127" s="107"/>
      <c r="E127" s="107"/>
      <c r="F127" s="107"/>
      <c r="G127" s="107"/>
    </row>
    <row r="128" spans="1:15" x14ac:dyDescent="0.25">
      <c r="A128" s="107"/>
      <c r="B128" s="107"/>
      <c r="C128" s="107"/>
      <c r="D128" s="107"/>
      <c r="E128" s="107"/>
      <c r="F128" s="107"/>
      <c r="G128" s="107"/>
    </row>
    <row r="129" spans="1:15" x14ac:dyDescent="0.25">
      <c r="A129" s="107"/>
      <c r="B129" s="107"/>
      <c r="C129" s="107"/>
      <c r="D129" s="107"/>
      <c r="E129" s="107"/>
      <c r="F129" s="107"/>
      <c r="G129" s="107"/>
    </row>
    <row r="130" spans="1:15" x14ac:dyDescent="0.25">
      <c r="A130" s="107"/>
      <c r="B130" s="107"/>
      <c r="C130" s="107"/>
      <c r="D130" s="107"/>
      <c r="E130" s="107"/>
      <c r="F130" s="107"/>
      <c r="G130" s="107"/>
    </row>
    <row r="131" spans="1:15" x14ac:dyDescent="0.25">
      <c r="A131" s="107"/>
      <c r="B131" s="107"/>
      <c r="C131" s="107"/>
      <c r="D131" s="107"/>
      <c r="E131" s="107"/>
      <c r="F131" s="107"/>
      <c r="G131" s="107"/>
    </row>
    <row r="132" spans="1:15" x14ac:dyDescent="0.25">
      <c r="A132" s="107"/>
      <c r="B132" s="107"/>
      <c r="C132" s="107"/>
      <c r="D132" s="107"/>
      <c r="E132" s="107"/>
      <c r="F132" s="107"/>
      <c r="G132" s="107"/>
    </row>
    <row r="134" spans="1:15" x14ac:dyDescent="0.25">
      <c r="K134" s="108" t="s">
        <v>104</v>
      </c>
      <c r="L134" s="108"/>
      <c r="M134" s="108"/>
      <c r="N134" s="108"/>
      <c r="O134" s="108"/>
    </row>
    <row r="135" spans="1:15" x14ac:dyDescent="0.25">
      <c r="D135" s="87">
        <v>2017</v>
      </c>
      <c r="E135" s="87">
        <v>2018</v>
      </c>
      <c r="F135" s="87">
        <v>2019</v>
      </c>
      <c r="G135" s="87">
        <v>2020</v>
      </c>
      <c r="H135" s="87">
        <v>2021</v>
      </c>
      <c r="K135" s="108"/>
      <c r="L135" s="108"/>
      <c r="M135" s="108"/>
      <c r="N135" s="108"/>
      <c r="O135" s="108"/>
    </row>
    <row r="136" spans="1:15" x14ac:dyDescent="0.25">
      <c r="D136" s="88">
        <v>-2.1810486309061069E-2</v>
      </c>
      <c r="E136" s="88">
        <v>-0.59831075697211156</v>
      </c>
      <c r="F136" s="88">
        <v>-0.9108226725184424</v>
      </c>
      <c r="G136" s="88">
        <v>-0.91667409851660275</v>
      </c>
      <c r="H136" s="88">
        <v>-2.6233844563156987</v>
      </c>
      <c r="K136" s="108"/>
      <c r="L136" s="108"/>
      <c r="M136" s="108"/>
      <c r="N136" s="108"/>
      <c r="O136" s="108"/>
    </row>
    <row r="137" spans="1:15" x14ac:dyDescent="0.25">
      <c r="K137" s="108"/>
      <c r="L137" s="108"/>
      <c r="M137" s="108"/>
      <c r="N137" s="108"/>
      <c r="O137" s="108"/>
    </row>
    <row r="138" spans="1:15" x14ac:dyDescent="0.25">
      <c r="K138" s="108"/>
      <c r="L138" s="108"/>
      <c r="M138" s="108"/>
      <c r="N138" s="108"/>
      <c r="O138" s="108"/>
    </row>
    <row r="139" spans="1:15" x14ac:dyDescent="0.25">
      <c r="K139" s="108"/>
      <c r="L139" s="108"/>
      <c r="M139" s="108"/>
      <c r="N139" s="108"/>
      <c r="O139" s="108"/>
    </row>
    <row r="140" spans="1:15" x14ac:dyDescent="0.25">
      <c r="K140" s="108"/>
      <c r="L140" s="108"/>
      <c r="M140" s="108"/>
      <c r="N140" s="108"/>
      <c r="O140" s="108"/>
    </row>
    <row r="141" spans="1:15" x14ac:dyDescent="0.25">
      <c r="K141" s="108"/>
      <c r="L141" s="108"/>
      <c r="M141" s="108"/>
      <c r="N141" s="108"/>
      <c r="O141" s="108"/>
    </row>
    <row r="142" spans="1:15" x14ac:dyDescent="0.25">
      <c r="K142" s="108"/>
      <c r="L142" s="108"/>
      <c r="M142" s="108"/>
      <c r="N142" s="108"/>
      <c r="O142" s="108"/>
    </row>
  </sheetData>
  <mergeCells count="16">
    <mergeCell ref="K44:O52"/>
    <mergeCell ref="A1:G6"/>
    <mergeCell ref="K8:O16"/>
    <mergeCell ref="A19:G24"/>
    <mergeCell ref="K26:O34"/>
    <mergeCell ref="A37:G42"/>
    <mergeCell ref="A109:G114"/>
    <mergeCell ref="K116:O124"/>
    <mergeCell ref="A127:G132"/>
    <mergeCell ref="K134:O142"/>
    <mergeCell ref="A55:G60"/>
    <mergeCell ref="K62:O70"/>
    <mergeCell ref="A73:G78"/>
    <mergeCell ref="K80:O88"/>
    <mergeCell ref="A91:G96"/>
    <mergeCell ref="K98:O10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7"/>
  <sheetViews>
    <sheetView zoomScale="55" zoomScaleNormal="55" workbookViewId="0">
      <selection activeCell="B8" sqref="B8"/>
    </sheetView>
  </sheetViews>
  <sheetFormatPr defaultColWidth="10.85546875" defaultRowHeight="15" x14ac:dyDescent="0.25"/>
  <cols>
    <col min="1" max="1" width="45.42578125" customWidth="1"/>
    <col min="2" max="2" width="14.42578125" customWidth="1"/>
    <col min="3" max="3" width="14.140625" customWidth="1"/>
    <col min="4" max="4" width="14.42578125" customWidth="1"/>
    <col min="5" max="5" width="14.140625" customWidth="1"/>
    <col min="6" max="6" width="14" customWidth="1"/>
    <col min="7" max="7" width="12.42578125" customWidth="1"/>
    <col min="8" max="8" width="14.42578125" customWidth="1"/>
    <col min="9" max="9" width="12" customWidth="1"/>
    <col min="10" max="10" width="14.42578125" customWidth="1"/>
    <col min="11" max="11" width="11.85546875" customWidth="1"/>
    <col min="12" max="12" width="14.42578125" customWidth="1"/>
    <col min="13" max="13" width="12.42578125" customWidth="1"/>
    <col min="14" max="14" width="14.42578125" customWidth="1"/>
  </cols>
  <sheetData>
    <row r="1" spans="1:14" ht="18.75" x14ac:dyDescent="0.3">
      <c r="A1" s="51" t="s">
        <v>72</v>
      </c>
    </row>
    <row r="2" spans="1:14" x14ac:dyDescent="0.25">
      <c r="G2" s="112" t="s">
        <v>73</v>
      </c>
      <c r="H2" s="112"/>
      <c r="I2" s="112"/>
      <c r="J2" s="112"/>
      <c r="K2" s="112"/>
      <c r="L2" s="112"/>
      <c r="M2" s="112"/>
      <c r="N2" s="112"/>
    </row>
    <row r="3" spans="1:14" x14ac:dyDescent="0.25">
      <c r="G3" s="109" t="s">
        <v>74</v>
      </c>
      <c r="H3" s="110"/>
      <c r="I3" s="109" t="s">
        <v>75</v>
      </c>
      <c r="J3" s="110"/>
      <c r="K3" s="109" t="s">
        <v>76</v>
      </c>
      <c r="L3" s="110"/>
      <c r="M3" s="111" t="s">
        <v>77</v>
      </c>
      <c r="N3" s="110"/>
    </row>
    <row r="4" spans="1:14" ht="45" x14ac:dyDescent="0.25">
      <c r="A4" s="9"/>
      <c r="B4" s="28" t="s">
        <v>1</v>
      </c>
      <c r="C4" s="29" t="s">
        <v>2</v>
      </c>
      <c r="D4" s="29" t="s">
        <v>3</v>
      </c>
      <c r="E4" s="29" t="s">
        <v>4</v>
      </c>
      <c r="F4" s="34" t="s">
        <v>5</v>
      </c>
      <c r="G4" s="40" t="s">
        <v>78</v>
      </c>
      <c r="H4" s="41" t="s">
        <v>79</v>
      </c>
      <c r="I4" s="40" t="s">
        <v>78</v>
      </c>
      <c r="J4" s="41" t="s">
        <v>79</v>
      </c>
      <c r="K4" s="40" t="s">
        <v>78</v>
      </c>
      <c r="L4" s="41" t="s">
        <v>79</v>
      </c>
      <c r="M4" s="38" t="s">
        <v>78</v>
      </c>
      <c r="N4" s="41" t="s">
        <v>79</v>
      </c>
    </row>
    <row r="5" spans="1:14" x14ac:dyDescent="0.25">
      <c r="A5" s="14" t="s">
        <v>6</v>
      </c>
      <c r="B5" s="7"/>
      <c r="C5" s="6"/>
      <c r="D5" s="6"/>
      <c r="E5" s="6"/>
      <c r="F5" s="13"/>
      <c r="G5" s="42"/>
      <c r="H5" s="43"/>
      <c r="I5" s="42"/>
      <c r="J5" s="43"/>
      <c r="K5" s="42"/>
      <c r="L5" s="43"/>
      <c r="M5" s="7"/>
      <c r="N5" s="43"/>
    </row>
    <row r="6" spans="1:14" x14ac:dyDescent="0.25">
      <c r="A6" s="3" t="s">
        <v>7</v>
      </c>
      <c r="B6" s="8"/>
      <c r="C6" s="5"/>
      <c r="D6" s="5"/>
      <c r="E6" s="5"/>
      <c r="F6" s="12"/>
      <c r="G6" s="42"/>
      <c r="H6" s="43"/>
      <c r="I6" s="42"/>
      <c r="J6" s="43"/>
      <c r="K6" s="42"/>
      <c r="L6" s="43"/>
      <c r="M6" s="7"/>
      <c r="N6" s="43"/>
    </row>
    <row r="7" spans="1:14" x14ac:dyDescent="0.25">
      <c r="A7" s="2" t="s">
        <v>8</v>
      </c>
      <c r="B7" s="7">
        <v>7936</v>
      </c>
      <c r="C7" s="6">
        <v>20734</v>
      </c>
      <c r="D7" s="6">
        <v>19777</v>
      </c>
      <c r="E7" s="6">
        <v>17025</v>
      </c>
      <c r="F7" s="13">
        <v>17675</v>
      </c>
      <c r="G7" s="42">
        <f>C7-B7</f>
        <v>12798</v>
      </c>
      <c r="H7" s="44">
        <f>G7/B7</f>
        <v>1.6126512096774193</v>
      </c>
      <c r="I7" s="42">
        <f>D7-B7</f>
        <v>11841</v>
      </c>
      <c r="J7" s="44">
        <f>I7/B7</f>
        <v>1.4920614919354838</v>
      </c>
      <c r="K7" s="42">
        <f>E7-B7</f>
        <v>9089</v>
      </c>
      <c r="L7" s="44">
        <f>K7/B7</f>
        <v>1.1452872983870968</v>
      </c>
      <c r="M7" s="7">
        <f>F7-B7</f>
        <v>9739</v>
      </c>
      <c r="N7" s="44">
        <f>M7/B7</f>
        <v>1.2271925403225807</v>
      </c>
    </row>
    <row r="8" spans="1:14" x14ac:dyDescent="0.25">
      <c r="A8" s="2" t="s">
        <v>9</v>
      </c>
      <c r="B8" s="24" t="s">
        <v>10</v>
      </c>
      <c r="C8" s="6">
        <v>575</v>
      </c>
      <c r="D8" s="6">
        <v>349</v>
      </c>
      <c r="E8" s="6">
        <v>211</v>
      </c>
      <c r="F8" s="13">
        <v>194</v>
      </c>
      <c r="G8" s="42"/>
      <c r="H8" s="44"/>
      <c r="I8" s="42"/>
      <c r="J8" s="44"/>
      <c r="K8" s="42"/>
      <c r="L8" s="44"/>
      <c r="M8" s="7"/>
      <c r="N8" s="44"/>
    </row>
    <row r="9" spans="1:14" x14ac:dyDescent="0.25">
      <c r="A9" s="2" t="s">
        <v>11</v>
      </c>
      <c r="B9" s="7">
        <v>7999</v>
      </c>
      <c r="C9" s="6">
        <v>68767</v>
      </c>
      <c r="D9" s="6">
        <v>20063</v>
      </c>
      <c r="E9" s="6">
        <v>21870</v>
      </c>
      <c r="F9" s="13">
        <v>27830</v>
      </c>
      <c r="G9" s="42">
        <f>C9-B9</f>
        <v>60768</v>
      </c>
      <c r="H9" s="44">
        <f>G9/B9</f>
        <v>7.5969496187023378</v>
      </c>
      <c r="I9" s="42">
        <f>D9-B9</f>
        <v>12064</v>
      </c>
      <c r="J9" s="44">
        <f t="shared" ref="J9:J69" si="0">I9/B9</f>
        <v>1.5081885235654457</v>
      </c>
      <c r="K9" s="42">
        <f t="shared" ref="K9:K69" si="1">E9-B9</f>
        <v>13871</v>
      </c>
      <c r="L9" s="44">
        <f t="shared" ref="L9:L69" si="2">K9/B9</f>
        <v>1.7340917614701838</v>
      </c>
      <c r="M9" s="7">
        <f t="shared" ref="M9:M69" si="3">F9-B9</f>
        <v>19831</v>
      </c>
      <c r="N9" s="44">
        <f t="shared" ref="N9:N69" si="4">M9/B9</f>
        <v>2.4791848981122642</v>
      </c>
    </row>
    <row r="10" spans="1:14" x14ac:dyDescent="0.25">
      <c r="A10" s="2" t="s">
        <v>12</v>
      </c>
      <c r="B10" s="24" t="s">
        <v>10</v>
      </c>
      <c r="C10" s="22" t="s">
        <v>10</v>
      </c>
      <c r="D10" s="6">
        <v>48975</v>
      </c>
      <c r="E10" s="6">
        <v>48975</v>
      </c>
      <c r="F10" s="13">
        <v>50007</v>
      </c>
      <c r="G10" s="42"/>
      <c r="H10" s="44"/>
      <c r="I10" s="42"/>
      <c r="J10" s="44"/>
      <c r="K10" s="42"/>
      <c r="L10" s="44"/>
      <c r="M10" s="7"/>
      <c r="N10" s="44"/>
    </row>
    <row r="11" spans="1:14" x14ac:dyDescent="0.25">
      <c r="A11" s="2" t="s">
        <v>13</v>
      </c>
      <c r="B11" s="24" t="s">
        <v>10</v>
      </c>
      <c r="C11" s="22" t="s">
        <v>10</v>
      </c>
      <c r="D11" s="6">
        <v>62832</v>
      </c>
      <c r="E11" s="6">
        <v>71593</v>
      </c>
      <c r="F11" s="13">
        <v>74075</v>
      </c>
      <c r="G11" s="42"/>
      <c r="H11" s="44"/>
      <c r="I11" s="42"/>
      <c r="J11" s="44"/>
      <c r="K11" s="42"/>
      <c r="L11" s="44"/>
      <c r="M11" s="7"/>
      <c r="N11" s="44"/>
    </row>
    <row r="12" spans="1:14" ht="30" x14ac:dyDescent="0.25">
      <c r="A12" s="4" t="s">
        <v>14</v>
      </c>
      <c r="B12" s="24" t="s">
        <v>10</v>
      </c>
      <c r="C12" s="22" t="s">
        <v>10</v>
      </c>
      <c r="D12" s="6">
        <v>1982</v>
      </c>
      <c r="E12" s="6">
        <v>1244</v>
      </c>
      <c r="F12" s="13">
        <v>15</v>
      </c>
      <c r="G12" s="42"/>
      <c r="H12" s="44"/>
      <c r="I12" s="42"/>
      <c r="J12" s="44"/>
      <c r="K12" s="42"/>
      <c r="L12" s="44"/>
      <c r="M12" s="7"/>
      <c r="N12" s="44"/>
    </row>
    <row r="13" spans="1:14" x14ac:dyDescent="0.25">
      <c r="A13" s="2" t="s">
        <v>15</v>
      </c>
      <c r="B13" s="7">
        <v>2471</v>
      </c>
      <c r="C13" s="22" t="s">
        <v>10</v>
      </c>
      <c r="D13" s="22" t="s">
        <v>10</v>
      </c>
      <c r="E13" s="20" t="s">
        <v>10</v>
      </c>
      <c r="F13" s="13">
        <v>5575</v>
      </c>
      <c r="G13" s="42"/>
      <c r="H13" s="44"/>
      <c r="I13" s="42"/>
      <c r="J13" s="44"/>
      <c r="K13" s="42"/>
      <c r="L13" s="44"/>
      <c r="M13" s="7">
        <f t="shared" si="3"/>
        <v>3104</v>
      </c>
      <c r="N13" s="44">
        <f t="shared" si="4"/>
        <v>1.2561715904492108</v>
      </c>
    </row>
    <row r="14" spans="1:14" x14ac:dyDescent="0.25">
      <c r="A14" s="2" t="s">
        <v>16</v>
      </c>
      <c r="B14" s="7">
        <v>4264</v>
      </c>
      <c r="C14" s="6">
        <v>5759</v>
      </c>
      <c r="D14" s="6">
        <v>3302</v>
      </c>
      <c r="E14" s="6">
        <v>5714</v>
      </c>
      <c r="F14" s="13">
        <v>5366</v>
      </c>
      <c r="G14" s="42">
        <f t="shared" ref="G14:G69" si="5">C14-B14</f>
        <v>1495</v>
      </c>
      <c r="H14" s="44">
        <f t="shared" ref="H14:H69" si="6">G14/B14</f>
        <v>0.35060975609756095</v>
      </c>
      <c r="I14" s="42">
        <f t="shared" ref="I14:I69" si="7">D14-B14</f>
        <v>-962</v>
      </c>
      <c r="J14" s="44">
        <f t="shared" si="0"/>
        <v>-0.22560975609756098</v>
      </c>
      <c r="K14" s="42">
        <f t="shared" si="1"/>
        <v>1450</v>
      </c>
      <c r="L14" s="44">
        <f t="shared" si="2"/>
        <v>0.34005628517823638</v>
      </c>
      <c r="M14" s="7">
        <f t="shared" si="3"/>
        <v>1102</v>
      </c>
      <c r="N14" s="44">
        <f t="shared" si="4"/>
        <v>0.25844277673545968</v>
      </c>
    </row>
    <row r="15" spans="1:14" x14ac:dyDescent="0.25">
      <c r="A15" s="2" t="s">
        <v>17</v>
      </c>
      <c r="B15" s="7">
        <v>993</v>
      </c>
      <c r="C15" s="6">
        <v>2646</v>
      </c>
      <c r="D15" s="6">
        <v>1431</v>
      </c>
      <c r="E15" s="6">
        <v>907</v>
      </c>
      <c r="F15" s="13">
        <v>1632</v>
      </c>
      <c r="G15" s="42">
        <f t="shared" si="5"/>
        <v>1653</v>
      </c>
      <c r="H15" s="44">
        <f t="shared" si="6"/>
        <v>1.6646525679758308</v>
      </c>
      <c r="I15" s="42">
        <f t="shared" si="7"/>
        <v>438</v>
      </c>
      <c r="J15" s="44">
        <f t="shared" si="0"/>
        <v>0.44108761329305135</v>
      </c>
      <c r="K15" s="42">
        <f t="shared" si="1"/>
        <v>-86</v>
      </c>
      <c r="L15" s="44">
        <f t="shared" si="2"/>
        <v>-8.6606243705941596E-2</v>
      </c>
      <c r="M15" s="7">
        <f t="shared" si="3"/>
        <v>639</v>
      </c>
      <c r="N15" s="44">
        <f t="shared" si="4"/>
        <v>0.64350453172205435</v>
      </c>
    </row>
    <row r="16" spans="1:14" x14ac:dyDescent="0.25">
      <c r="A16" s="15" t="s">
        <v>18</v>
      </c>
      <c r="B16" s="16">
        <f t="shared" ref="B16:C16" si="8">SUM(B7:B15)</f>
        <v>23663</v>
      </c>
      <c r="C16" s="16">
        <f t="shared" si="8"/>
        <v>98481</v>
      </c>
      <c r="D16" s="16">
        <f>SUM(D7:D15)</f>
        <v>158711</v>
      </c>
      <c r="E16" s="16">
        <f>SUM(E7:E15)</f>
        <v>167539</v>
      </c>
      <c r="F16" s="35">
        <f>SUM(F7:F15)</f>
        <v>182369</v>
      </c>
      <c r="G16" s="45">
        <f t="shared" si="5"/>
        <v>74818</v>
      </c>
      <c r="H16" s="46">
        <f t="shared" si="6"/>
        <v>3.1618138021383593</v>
      </c>
      <c r="I16" s="45">
        <f t="shared" si="7"/>
        <v>135048</v>
      </c>
      <c r="J16" s="46">
        <f t="shared" si="0"/>
        <v>5.7071377255631157</v>
      </c>
      <c r="K16" s="45">
        <f t="shared" si="1"/>
        <v>143876</v>
      </c>
      <c r="L16" s="46">
        <f t="shared" si="2"/>
        <v>6.0802096099395682</v>
      </c>
      <c r="M16" s="39">
        <f>F16-B16</f>
        <v>158706</v>
      </c>
      <c r="N16" s="46">
        <f>M16/B16</f>
        <v>6.706926425220809</v>
      </c>
    </row>
    <row r="17" spans="1:14" x14ac:dyDescent="0.25">
      <c r="A17" s="5" t="s">
        <v>19</v>
      </c>
      <c r="B17" s="8"/>
      <c r="C17" s="5"/>
      <c r="D17" s="5"/>
      <c r="F17" s="12"/>
      <c r="G17" s="42"/>
      <c r="H17" s="44"/>
      <c r="I17" s="42"/>
      <c r="J17" s="44"/>
      <c r="K17" s="42"/>
      <c r="L17" s="44"/>
      <c r="M17" s="7"/>
      <c r="N17" s="44"/>
    </row>
    <row r="18" spans="1:14" x14ac:dyDescent="0.25">
      <c r="A18" s="2" t="s">
        <v>20</v>
      </c>
      <c r="B18" s="21">
        <v>52283</v>
      </c>
      <c r="C18" s="19">
        <v>113145</v>
      </c>
      <c r="D18" s="19">
        <v>129115</v>
      </c>
      <c r="E18" s="19">
        <v>146994</v>
      </c>
      <c r="F18" s="13">
        <v>163840</v>
      </c>
      <c r="G18" s="42">
        <f t="shared" si="5"/>
        <v>60862</v>
      </c>
      <c r="H18" s="44">
        <f t="shared" si="6"/>
        <v>1.1640877531893732</v>
      </c>
      <c r="I18" s="42">
        <f t="shared" si="7"/>
        <v>76832</v>
      </c>
      <c r="J18" s="44">
        <f t="shared" si="0"/>
        <v>1.4695407685098407</v>
      </c>
      <c r="K18" s="42">
        <f t="shared" si="1"/>
        <v>94711</v>
      </c>
      <c r="L18" s="44">
        <f t="shared" si="2"/>
        <v>1.8115066082665494</v>
      </c>
      <c r="M18" s="7">
        <f t="shared" si="3"/>
        <v>111557</v>
      </c>
      <c r="N18" s="44">
        <f t="shared" si="4"/>
        <v>2.1337145917411013</v>
      </c>
    </row>
    <row r="19" spans="1:14" x14ac:dyDescent="0.25">
      <c r="A19" s="2" t="s">
        <v>21</v>
      </c>
      <c r="B19" s="7">
        <v>20834</v>
      </c>
      <c r="C19" s="6">
        <v>29631</v>
      </c>
      <c r="D19" s="6">
        <v>34136</v>
      </c>
      <c r="E19" s="6">
        <v>46224</v>
      </c>
      <c r="F19" s="13">
        <v>46865</v>
      </c>
      <c r="G19" s="42">
        <f t="shared" si="5"/>
        <v>8797</v>
      </c>
      <c r="H19" s="44">
        <f t="shared" si="6"/>
        <v>0.4222424882403763</v>
      </c>
      <c r="I19" s="42">
        <f t="shared" si="7"/>
        <v>13302</v>
      </c>
      <c r="J19" s="44">
        <f t="shared" si="0"/>
        <v>0.63847556878179901</v>
      </c>
      <c r="K19" s="42">
        <f t="shared" si="1"/>
        <v>25390</v>
      </c>
      <c r="L19" s="44">
        <f t="shared" si="2"/>
        <v>1.2186810022079293</v>
      </c>
      <c r="M19" s="7">
        <f t="shared" si="3"/>
        <v>26031</v>
      </c>
      <c r="N19" s="44">
        <f t="shared" si="4"/>
        <v>1.2494480176634348</v>
      </c>
    </row>
    <row r="20" spans="1:14" x14ac:dyDescent="0.25">
      <c r="A20" s="2" t="s">
        <v>22</v>
      </c>
      <c r="B20" s="7">
        <v>777</v>
      </c>
      <c r="C20" s="6">
        <v>1826</v>
      </c>
      <c r="D20" s="6">
        <v>1181</v>
      </c>
      <c r="E20" s="6">
        <v>1761</v>
      </c>
      <c r="F20" s="13">
        <v>1622</v>
      </c>
      <c r="G20" s="42">
        <f t="shared" si="5"/>
        <v>1049</v>
      </c>
      <c r="H20" s="44">
        <f t="shared" si="6"/>
        <v>1.3500643500643501</v>
      </c>
      <c r="I20" s="42">
        <f t="shared" si="7"/>
        <v>404</v>
      </c>
      <c r="J20" s="44">
        <f t="shared" si="0"/>
        <v>0.51994851994851998</v>
      </c>
      <c r="K20" s="42">
        <f t="shared" si="1"/>
        <v>984</v>
      </c>
      <c r="L20" s="44">
        <f t="shared" si="2"/>
        <v>1.2664092664092663</v>
      </c>
      <c r="M20" s="7">
        <f t="shared" si="3"/>
        <v>845</v>
      </c>
      <c r="N20" s="44">
        <f t="shared" si="4"/>
        <v>1.0875160875160874</v>
      </c>
    </row>
    <row r="21" spans="1:14" x14ac:dyDescent="0.25">
      <c r="A21" s="2" t="s">
        <v>23</v>
      </c>
      <c r="B21" s="7">
        <v>16</v>
      </c>
      <c r="C21" s="6">
        <v>33</v>
      </c>
      <c r="D21" s="6">
        <v>84</v>
      </c>
      <c r="E21" s="6">
        <v>100</v>
      </c>
      <c r="F21" s="13">
        <v>2637</v>
      </c>
      <c r="G21" s="42">
        <f t="shared" si="5"/>
        <v>17</v>
      </c>
      <c r="H21" s="44">
        <f t="shared" si="6"/>
        <v>1.0625</v>
      </c>
      <c r="I21" s="42">
        <f t="shared" si="7"/>
        <v>68</v>
      </c>
      <c r="J21" s="44">
        <f t="shared" si="0"/>
        <v>4.25</v>
      </c>
      <c r="K21" s="42">
        <f t="shared" si="1"/>
        <v>84</v>
      </c>
      <c r="L21" s="44">
        <f t="shared" si="2"/>
        <v>5.25</v>
      </c>
      <c r="M21" s="7">
        <f t="shared" si="3"/>
        <v>2621</v>
      </c>
      <c r="N21" s="44">
        <f t="shared" si="4"/>
        <v>163.8125</v>
      </c>
    </row>
    <row r="22" spans="1:14" x14ac:dyDescent="0.25">
      <c r="A22" s="2" t="s">
        <v>24</v>
      </c>
      <c r="B22" s="7">
        <v>6154</v>
      </c>
      <c r="C22" s="6">
        <v>16112</v>
      </c>
      <c r="D22" s="6">
        <v>21316</v>
      </c>
      <c r="E22" s="6">
        <v>25352</v>
      </c>
      <c r="F22" s="13">
        <v>33910</v>
      </c>
      <c r="G22" s="42">
        <f t="shared" si="5"/>
        <v>9958</v>
      </c>
      <c r="H22" s="44">
        <f t="shared" si="6"/>
        <v>1.6181345466363342</v>
      </c>
      <c r="I22" s="42">
        <f t="shared" si="7"/>
        <v>15162</v>
      </c>
      <c r="J22" s="44">
        <f t="shared" si="0"/>
        <v>2.4637634059148521</v>
      </c>
      <c r="K22" s="42">
        <f t="shared" si="1"/>
        <v>19198</v>
      </c>
      <c r="L22" s="44">
        <f t="shared" si="2"/>
        <v>3.1195970100747483</v>
      </c>
      <c r="M22" s="7">
        <f t="shared" si="3"/>
        <v>27756</v>
      </c>
      <c r="N22" s="44">
        <f t="shared" si="4"/>
        <v>4.5102372440688985</v>
      </c>
    </row>
    <row r="23" spans="1:14" x14ac:dyDescent="0.25">
      <c r="A23" s="2" t="s">
        <v>25</v>
      </c>
      <c r="B23" s="7">
        <v>7</v>
      </c>
      <c r="C23" s="6">
        <v>43</v>
      </c>
      <c r="D23" s="6">
        <v>44</v>
      </c>
      <c r="E23" s="6">
        <v>60</v>
      </c>
      <c r="F23" s="13">
        <v>68</v>
      </c>
      <c r="G23" s="42">
        <f t="shared" si="5"/>
        <v>36</v>
      </c>
      <c r="H23" s="44">
        <f t="shared" si="6"/>
        <v>5.1428571428571432</v>
      </c>
      <c r="I23" s="42">
        <f t="shared" si="7"/>
        <v>37</v>
      </c>
      <c r="J23" s="44">
        <f t="shared" si="0"/>
        <v>5.2857142857142856</v>
      </c>
      <c r="K23" s="42">
        <f t="shared" si="1"/>
        <v>53</v>
      </c>
      <c r="L23" s="44">
        <f t="shared" si="2"/>
        <v>7.5714285714285712</v>
      </c>
      <c r="M23" s="7">
        <f t="shared" si="3"/>
        <v>61</v>
      </c>
      <c r="N23" s="44">
        <f t="shared" si="4"/>
        <v>8.7142857142857135</v>
      </c>
    </row>
    <row r="24" spans="1:14" x14ac:dyDescent="0.25">
      <c r="A24" s="2" t="s">
        <v>26</v>
      </c>
      <c r="B24" s="7">
        <v>17791</v>
      </c>
      <c r="C24" s="6">
        <v>25669</v>
      </c>
      <c r="D24" s="6">
        <v>4738</v>
      </c>
      <c r="E24" s="6">
        <v>7445</v>
      </c>
      <c r="F24" s="13">
        <v>12053</v>
      </c>
      <c r="G24" s="42">
        <f t="shared" si="5"/>
        <v>7878</v>
      </c>
      <c r="H24" s="44">
        <f t="shared" si="6"/>
        <v>0.44280816142993651</v>
      </c>
      <c r="I24" s="42">
        <f t="shared" si="7"/>
        <v>-13053</v>
      </c>
      <c r="J24" s="44">
        <f t="shared" si="0"/>
        <v>-0.73368557135630375</v>
      </c>
      <c r="K24" s="42">
        <f t="shared" si="1"/>
        <v>-10346</v>
      </c>
      <c r="L24" s="44">
        <f t="shared" si="2"/>
        <v>-0.58152998707211512</v>
      </c>
      <c r="M24" s="7">
        <f t="shared" si="3"/>
        <v>-5738</v>
      </c>
      <c r="N24" s="44">
        <f t="shared" si="4"/>
        <v>-0.32252262379854985</v>
      </c>
    </row>
    <row r="25" spans="1:14" x14ac:dyDescent="0.25">
      <c r="A25" s="2" t="s">
        <v>27</v>
      </c>
      <c r="B25" s="24" t="s">
        <v>10</v>
      </c>
      <c r="C25" s="6">
        <v>494</v>
      </c>
      <c r="D25" s="6">
        <v>303</v>
      </c>
      <c r="E25" s="6">
        <v>1229</v>
      </c>
      <c r="F25" s="13">
        <v>8</v>
      </c>
      <c r="G25" s="42"/>
      <c r="H25" s="44"/>
      <c r="I25" s="42"/>
      <c r="J25" s="44"/>
      <c r="K25" s="42"/>
      <c r="L25" s="44"/>
      <c r="M25" s="7"/>
      <c r="N25" s="44"/>
    </row>
    <row r="26" spans="1:14" x14ac:dyDescent="0.25">
      <c r="A26" s="15" t="s">
        <v>28</v>
      </c>
      <c r="B26" s="16">
        <f t="shared" ref="B26:C26" si="9">SUM(B18:B25)</f>
        <v>97862</v>
      </c>
      <c r="C26" s="16">
        <f t="shared" si="9"/>
        <v>186953</v>
      </c>
      <c r="D26" s="16">
        <f>SUM(D18:D25)</f>
        <v>190917</v>
      </c>
      <c r="E26" s="16">
        <f>SUM(E18:E25)</f>
        <v>229165</v>
      </c>
      <c r="F26" s="35">
        <f>SUM(F18:F25)</f>
        <v>261003</v>
      </c>
      <c r="G26" s="45">
        <f t="shared" si="5"/>
        <v>89091</v>
      </c>
      <c r="H26" s="46">
        <f t="shared" si="6"/>
        <v>0.91037379166581511</v>
      </c>
      <c r="I26" s="45">
        <f t="shared" si="7"/>
        <v>93055</v>
      </c>
      <c r="J26" s="46">
        <f t="shared" si="0"/>
        <v>0.95087981034517999</v>
      </c>
      <c r="K26" s="45">
        <f t="shared" si="1"/>
        <v>131303</v>
      </c>
      <c r="L26" s="46">
        <f t="shared" si="2"/>
        <v>1.3417158856348737</v>
      </c>
      <c r="M26" s="39">
        <f t="shared" si="3"/>
        <v>163141</v>
      </c>
      <c r="N26" s="46">
        <f t="shared" si="4"/>
        <v>1.6670515624042019</v>
      </c>
    </row>
    <row r="27" spans="1:14" x14ac:dyDescent="0.25">
      <c r="A27" s="14" t="s">
        <v>29</v>
      </c>
      <c r="B27" s="5">
        <f t="shared" ref="B27:C27" si="10">B16+B26</f>
        <v>121525</v>
      </c>
      <c r="C27" s="5">
        <f t="shared" si="10"/>
        <v>285434</v>
      </c>
      <c r="D27" s="5">
        <f>D16+D26</f>
        <v>349628</v>
      </c>
      <c r="E27" s="5">
        <f>E16+E26</f>
        <v>396704</v>
      </c>
      <c r="F27" s="12">
        <f>F16+F26</f>
        <v>443372</v>
      </c>
      <c r="G27" s="45">
        <f t="shared" si="5"/>
        <v>163909</v>
      </c>
      <c r="H27" s="46">
        <f t="shared" si="6"/>
        <v>1.3487677432627032</v>
      </c>
      <c r="I27" s="45">
        <f t="shared" si="7"/>
        <v>228103</v>
      </c>
      <c r="J27" s="49">
        <f t="shared" si="0"/>
        <v>1.8770047315367209</v>
      </c>
      <c r="K27" s="45">
        <f t="shared" si="1"/>
        <v>275179</v>
      </c>
      <c r="L27" s="46">
        <f t="shared" si="2"/>
        <v>2.2643818144414731</v>
      </c>
      <c r="M27" s="39">
        <f t="shared" si="3"/>
        <v>321847</v>
      </c>
      <c r="N27" s="46">
        <f t="shared" si="4"/>
        <v>2.6484015634643079</v>
      </c>
    </row>
    <row r="28" spans="1:14" x14ac:dyDescent="0.25">
      <c r="G28" s="42"/>
      <c r="H28" s="44"/>
      <c r="I28" s="42"/>
      <c r="J28" s="44"/>
      <c r="K28" s="42"/>
      <c r="L28" s="44"/>
      <c r="M28" s="7"/>
      <c r="N28" s="44"/>
    </row>
    <row r="29" spans="1:14" x14ac:dyDescent="0.25">
      <c r="A29" s="14" t="s">
        <v>30</v>
      </c>
      <c r="B29" s="5"/>
      <c r="C29" s="5"/>
      <c r="D29" s="5"/>
      <c r="E29" s="5"/>
      <c r="F29" s="12"/>
      <c r="G29" s="42"/>
      <c r="H29" s="44"/>
      <c r="I29" s="42"/>
      <c r="J29" s="44"/>
      <c r="K29" s="42"/>
      <c r="L29" s="44"/>
      <c r="M29" s="7"/>
      <c r="N29" s="44"/>
    </row>
    <row r="30" spans="1:14" x14ac:dyDescent="0.25">
      <c r="A30" s="2" t="s">
        <v>31</v>
      </c>
      <c r="B30" s="6">
        <v>1798</v>
      </c>
      <c r="C30" s="6">
        <v>1798</v>
      </c>
      <c r="D30" s="6">
        <v>1798</v>
      </c>
      <c r="E30" s="6">
        <v>1798</v>
      </c>
      <c r="F30" s="13">
        <v>1798</v>
      </c>
      <c r="G30" s="42">
        <f>C30-B30</f>
        <v>0</v>
      </c>
      <c r="H30" s="44">
        <f t="shared" si="6"/>
        <v>0</v>
      </c>
      <c r="I30" s="42">
        <f t="shared" si="7"/>
        <v>0</v>
      </c>
      <c r="J30" s="44">
        <f t="shared" si="0"/>
        <v>0</v>
      </c>
      <c r="K30" s="42">
        <f t="shared" si="1"/>
        <v>0</v>
      </c>
      <c r="L30" s="44">
        <f t="shared" si="2"/>
        <v>0</v>
      </c>
      <c r="M30" s="7">
        <f t="shared" si="3"/>
        <v>0</v>
      </c>
      <c r="N30" s="44">
        <f t="shared" si="4"/>
        <v>0</v>
      </c>
    </row>
    <row r="31" spans="1:14" x14ac:dyDescent="0.25">
      <c r="A31" s="2" t="s">
        <v>32</v>
      </c>
      <c r="B31" s="6">
        <v>4576</v>
      </c>
      <c r="C31" s="6">
        <v>4576</v>
      </c>
      <c r="D31" s="6">
        <v>4576</v>
      </c>
      <c r="E31" s="6">
        <v>4576</v>
      </c>
      <c r="F31" s="13">
        <v>4576</v>
      </c>
      <c r="G31" s="42">
        <f t="shared" si="5"/>
        <v>0</v>
      </c>
      <c r="H31" s="44">
        <f t="shared" si="6"/>
        <v>0</v>
      </c>
      <c r="I31" s="42">
        <f t="shared" si="7"/>
        <v>0</v>
      </c>
      <c r="J31" s="44">
        <f t="shared" si="0"/>
        <v>0</v>
      </c>
      <c r="K31" s="42">
        <f t="shared" si="1"/>
        <v>0</v>
      </c>
      <c r="L31" s="44">
        <f t="shared" si="2"/>
        <v>0</v>
      </c>
      <c r="M31" s="7">
        <f t="shared" si="3"/>
        <v>0</v>
      </c>
      <c r="N31" s="44">
        <f t="shared" si="4"/>
        <v>0</v>
      </c>
    </row>
    <row r="32" spans="1:14" x14ac:dyDescent="0.25">
      <c r="A32" s="2" t="s">
        <v>33</v>
      </c>
      <c r="B32" s="6">
        <v>-52</v>
      </c>
      <c r="C32" s="6">
        <v>-749</v>
      </c>
      <c r="D32" s="6">
        <v>-749</v>
      </c>
      <c r="E32" s="6">
        <v>-749</v>
      </c>
      <c r="F32" s="13">
        <v>-557</v>
      </c>
      <c r="G32" s="42">
        <f t="shared" si="5"/>
        <v>-697</v>
      </c>
      <c r="H32" s="44">
        <f t="shared" si="6"/>
        <v>13.403846153846153</v>
      </c>
      <c r="I32" s="42">
        <f t="shared" si="7"/>
        <v>-697</v>
      </c>
      <c r="J32" s="44">
        <f t="shared" si="0"/>
        <v>13.403846153846153</v>
      </c>
      <c r="K32" s="42">
        <f t="shared" si="1"/>
        <v>-697</v>
      </c>
      <c r="L32" s="44">
        <f t="shared" si="2"/>
        <v>13.403846153846153</v>
      </c>
      <c r="M32" s="7">
        <f t="shared" si="3"/>
        <v>-505</v>
      </c>
      <c r="N32" s="44">
        <f t="shared" si="4"/>
        <v>9.7115384615384617</v>
      </c>
    </row>
    <row r="33" spans="1:14" x14ac:dyDescent="0.25">
      <c r="A33" s="2" t="s">
        <v>34</v>
      </c>
      <c r="B33" s="6">
        <v>16602</v>
      </c>
      <c r="C33" s="6">
        <v>25240</v>
      </c>
      <c r="D33" s="6">
        <v>26502</v>
      </c>
      <c r="E33" s="6">
        <v>28014</v>
      </c>
      <c r="F33" s="13">
        <v>17395</v>
      </c>
      <c r="G33" s="42">
        <f t="shared" si="5"/>
        <v>8638</v>
      </c>
      <c r="H33" s="44">
        <f t="shared" si="6"/>
        <v>0.52029875918564028</v>
      </c>
      <c r="I33" s="42">
        <f t="shared" si="7"/>
        <v>9900</v>
      </c>
      <c r="J33" s="44">
        <f t="shared" si="0"/>
        <v>0.59631369714492233</v>
      </c>
      <c r="K33" s="42">
        <f t="shared" si="1"/>
        <v>11412</v>
      </c>
      <c r="L33" s="44">
        <f t="shared" si="2"/>
        <v>0.68738706179978315</v>
      </c>
      <c r="M33" s="7">
        <f t="shared" si="3"/>
        <v>793</v>
      </c>
      <c r="N33" s="44">
        <f t="shared" si="4"/>
        <v>4.7765329478376098E-2</v>
      </c>
    </row>
    <row r="34" spans="1:14" x14ac:dyDescent="0.25">
      <c r="A34" s="2" t="s">
        <v>35</v>
      </c>
      <c r="B34" s="6">
        <v>230</v>
      </c>
      <c r="C34" s="6">
        <v>510</v>
      </c>
      <c r="D34" s="22" t="s">
        <v>10</v>
      </c>
      <c r="E34" s="22" t="s">
        <v>10</v>
      </c>
      <c r="F34" s="36" t="s">
        <v>10</v>
      </c>
      <c r="G34" s="42">
        <f t="shared" si="5"/>
        <v>280</v>
      </c>
      <c r="H34" s="44">
        <f t="shared" si="6"/>
        <v>1.2173913043478262</v>
      </c>
      <c r="I34" s="42"/>
      <c r="J34" s="44"/>
      <c r="K34" s="42"/>
      <c r="L34" s="44"/>
      <c r="M34" s="7"/>
      <c r="N34" s="44"/>
    </row>
    <row r="35" spans="1:14" x14ac:dyDescent="0.25">
      <c r="A35" s="15" t="s">
        <v>36</v>
      </c>
      <c r="B35" s="16">
        <f>SUM(B30:B34)</f>
        <v>23154</v>
      </c>
      <c r="C35" s="16">
        <f>SUM(C30:C34)</f>
        <v>31375</v>
      </c>
      <c r="D35" s="16">
        <f t="shared" ref="D35:F35" si="11">SUM(D30:D34)</f>
        <v>32127</v>
      </c>
      <c r="E35" s="16">
        <f t="shared" si="11"/>
        <v>33639</v>
      </c>
      <c r="F35" s="35">
        <f t="shared" si="11"/>
        <v>23212</v>
      </c>
      <c r="G35" s="45">
        <f t="shared" si="5"/>
        <v>8221</v>
      </c>
      <c r="H35" s="46">
        <f t="shared" si="6"/>
        <v>0.35505744147879414</v>
      </c>
      <c r="I35" s="45">
        <f t="shared" si="7"/>
        <v>8973</v>
      </c>
      <c r="J35" s="46">
        <f t="shared" si="0"/>
        <v>0.38753563099248511</v>
      </c>
      <c r="K35" s="45">
        <f t="shared" si="1"/>
        <v>10485</v>
      </c>
      <c r="L35" s="46">
        <f t="shared" si="2"/>
        <v>0.45283752267426797</v>
      </c>
      <c r="M35" s="39">
        <f t="shared" si="3"/>
        <v>58</v>
      </c>
      <c r="N35" s="46">
        <f t="shared" si="4"/>
        <v>2.5049667444070139E-3</v>
      </c>
    </row>
    <row r="36" spans="1:14" x14ac:dyDescent="0.25">
      <c r="A36" s="14" t="s">
        <v>37</v>
      </c>
      <c r="B36" s="5"/>
      <c r="C36" s="5"/>
      <c r="D36" s="5"/>
      <c r="E36" s="5"/>
      <c r="F36" s="12"/>
      <c r="G36" s="42"/>
      <c r="H36" s="44"/>
      <c r="I36" s="42"/>
      <c r="J36" s="44"/>
      <c r="K36" s="42"/>
      <c r="L36" s="44"/>
      <c r="M36" s="7"/>
      <c r="N36" s="44"/>
    </row>
    <row r="37" spans="1:14" x14ac:dyDescent="0.25">
      <c r="A37" s="2" t="s">
        <v>38</v>
      </c>
      <c r="B37" s="22" t="s">
        <v>10</v>
      </c>
      <c r="C37" s="6">
        <v>45720</v>
      </c>
      <c r="D37" s="6">
        <v>38752</v>
      </c>
      <c r="E37" s="6">
        <v>31733</v>
      </c>
      <c r="F37" s="13">
        <v>28964</v>
      </c>
      <c r="G37" s="42"/>
      <c r="H37" s="44"/>
      <c r="I37" s="42"/>
      <c r="J37" s="44"/>
      <c r="K37" s="42"/>
      <c r="L37" s="44"/>
      <c r="M37" s="7"/>
      <c r="N37" s="44"/>
    </row>
    <row r="38" spans="1:14" x14ac:dyDescent="0.25">
      <c r="A38" s="2" t="s">
        <v>39</v>
      </c>
      <c r="B38" s="23" t="s">
        <v>10</v>
      </c>
      <c r="C38" s="23" t="s">
        <v>10</v>
      </c>
      <c r="D38" s="19">
        <v>57927</v>
      </c>
      <c r="E38" s="19">
        <v>70702</v>
      </c>
      <c r="F38" s="37">
        <v>68628</v>
      </c>
      <c r="G38" s="42"/>
      <c r="H38" s="44"/>
      <c r="I38" s="42"/>
      <c r="J38" s="44"/>
      <c r="K38" s="42"/>
      <c r="L38" s="44"/>
      <c r="M38" s="7"/>
      <c r="N38" s="44"/>
    </row>
    <row r="39" spans="1:14" x14ac:dyDescent="0.25">
      <c r="A39" s="2" t="s">
        <v>40</v>
      </c>
      <c r="B39" s="22" t="s">
        <v>10</v>
      </c>
      <c r="C39" s="6">
        <v>1785</v>
      </c>
      <c r="D39" s="6">
        <v>270</v>
      </c>
      <c r="E39" s="6">
        <v>175</v>
      </c>
      <c r="F39" s="13">
        <v>94</v>
      </c>
      <c r="G39" s="42"/>
      <c r="H39" s="44"/>
      <c r="I39" s="42"/>
      <c r="J39" s="44"/>
      <c r="K39" s="42"/>
      <c r="L39" s="44"/>
      <c r="M39" s="7"/>
      <c r="N39" s="44"/>
    </row>
    <row r="40" spans="1:14" x14ac:dyDescent="0.25">
      <c r="A40" s="2" t="s">
        <v>41</v>
      </c>
      <c r="B40" s="22" t="s">
        <v>10</v>
      </c>
      <c r="C40" s="6">
        <v>573</v>
      </c>
      <c r="D40" s="6">
        <v>373</v>
      </c>
      <c r="E40" s="6">
        <v>454</v>
      </c>
      <c r="F40" s="13">
        <v>577</v>
      </c>
      <c r="G40" s="42"/>
      <c r="H40" s="44"/>
      <c r="I40" s="42"/>
      <c r="J40" s="44"/>
      <c r="K40" s="42"/>
      <c r="L40" s="44"/>
      <c r="M40" s="7"/>
      <c r="N40" s="44"/>
    </row>
    <row r="41" spans="1:14" x14ac:dyDescent="0.25">
      <c r="A41" s="2" t="s">
        <v>42</v>
      </c>
      <c r="B41" s="6">
        <v>4</v>
      </c>
      <c r="C41" s="6">
        <v>256</v>
      </c>
      <c r="D41" s="22" t="s">
        <v>10</v>
      </c>
      <c r="E41" s="22" t="s">
        <v>10</v>
      </c>
      <c r="F41" s="36" t="s">
        <v>10</v>
      </c>
      <c r="G41" s="42">
        <f t="shared" si="5"/>
        <v>252</v>
      </c>
      <c r="H41" s="47">
        <f t="shared" si="6"/>
        <v>63</v>
      </c>
      <c r="I41" s="42"/>
      <c r="J41" s="44"/>
      <c r="K41" s="42"/>
      <c r="L41" s="44"/>
      <c r="M41" s="7"/>
      <c r="N41" s="44"/>
    </row>
    <row r="42" spans="1:14" x14ac:dyDescent="0.25">
      <c r="A42" s="15" t="s">
        <v>43</v>
      </c>
      <c r="B42" s="16">
        <f>SUM(B37:B41)</f>
        <v>4</v>
      </c>
      <c r="C42" s="16">
        <f>SUM(C37:C41)</f>
        <v>48334</v>
      </c>
      <c r="D42" s="16">
        <f t="shared" ref="D42:F42" si="12">SUM(D37:D41)</f>
        <v>97322</v>
      </c>
      <c r="E42" s="16">
        <f t="shared" si="12"/>
        <v>103064</v>
      </c>
      <c r="F42" s="35">
        <f t="shared" si="12"/>
        <v>98263</v>
      </c>
      <c r="G42" s="45">
        <f t="shared" si="5"/>
        <v>48330</v>
      </c>
      <c r="H42" s="48">
        <f t="shared" si="6"/>
        <v>12082.5</v>
      </c>
      <c r="I42" s="45">
        <f t="shared" si="7"/>
        <v>97318</v>
      </c>
      <c r="J42" s="48">
        <f>I42/B42</f>
        <v>24329.5</v>
      </c>
      <c r="K42" s="45">
        <f>E42-B42</f>
        <v>103060</v>
      </c>
      <c r="L42" s="48">
        <f>K42/B42</f>
        <v>25765</v>
      </c>
      <c r="M42" s="39">
        <f t="shared" si="3"/>
        <v>98259</v>
      </c>
      <c r="N42" s="48">
        <f t="shared" si="4"/>
        <v>24564.75</v>
      </c>
    </row>
    <row r="43" spans="1:14" x14ac:dyDescent="0.25">
      <c r="A43" s="14" t="s">
        <v>44</v>
      </c>
      <c r="B43" s="5"/>
      <c r="C43" s="5"/>
      <c r="D43" s="5"/>
      <c r="E43" s="5"/>
      <c r="F43" s="12"/>
      <c r="G43" s="42"/>
      <c r="H43" s="44"/>
      <c r="I43" s="42"/>
      <c r="J43" s="44"/>
      <c r="K43" s="42"/>
      <c r="L43" s="44"/>
      <c r="M43" s="7"/>
      <c r="N43" s="44"/>
    </row>
    <row r="44" spans="1:14" x14ac:dyDescent="0.25">
      <c r="A44" s="2" t="s">
        <v>45</v>
      </c>
      <c r="B44" s="6">
        <v>77698</v>
      </c>
      <c r="C44" s="6">
        <v>155420</v>
      </c>
      <c r="D44" s="6">
        <v>176065</v>
      </c>
      <c r="E44" s="6">
        <v>207862</v>
      </c>
      <c r="F44" s="13">
        <v>237324</v>
      </c>
      <c r="G44" s="42">
        <f t="shared" si="5"/>
        <v>77722</v>
      </c>
      <c r="H44" s="44">
        <f t="shared" si="6"/>
        <v>1.000308888259672</v>
      </c>
      <c r="I44" s="42">
        <f t="shared" si="7"/>
        <v>98367</v>
      </c>
      <c r="J44" s="50">
        <f t="shared" si="0"/>
        <v>1.2660171432984118</v>
      </c>
      <c r="K44" s="42">
        <f t="shared" si="1"/>
        <v>130164</v>
      </c>
      <c r="L44" s="44">
        <f t="shared" si="2"/>
        <v>1.6752554763314371</v>
      </c>
      <c r="M44" s="7">
        <f t="shared" si="3"/>
        <v>159626</v>
      </c>
      <c r="N44" s="44">
        <f t="shared" si="4"/>
        <v>2.0544415557672013</v>
      </c>
    </row>
    <row r="45" spans="1:14" ht="30" x14ac:dyDescent="0.25">
      <c r="A45" s="4" t="s">
        <v>46</v>
      </c>
      <c r="B45" s="6">
        <v>8708</v>
      </c>
      <c r="C45" s="6">
        <v>22435</v>
      </c>
      <c r="D45" s="6">
        <v>12975</v>
      </c>
      <c r="E45" s="6">
        <v>14346</v>
      </c>
      <c r="F45" s="13">
        <v>18003</v>
      </c>
      <c r="G45" s="42">
        <f t="shared" si="5"/>
        <v>13727</v>
      </c>
      <c r="H45" s="44">
        <f t="shared" si="6"/>
        <v>1.5763665594855305</v>
      </c>
      <c r="I45" s="42">
        <f t="shared" si="7"/>
        <v>4267</v>
      </c>
      <c r="J45" s="44">
        <f t="shared" si="0"/>
        <v>0.49000918695452456</v>
      </c>
      <c r="K45" s="42">
        <f t="shared" si="1"/>
        <v>5638</v>
      </c>
      <c r="L45" s="44">
        <f t="shared" si="2"/>
        <v>0.64745062011943044</v>
      </c>
      <c r="M45" s="7">
        <f t="shared" si="3"/>
        <v>9295</v>
      </c>
      <c r="N45" s="44">
        <f t="shared" si="4"/>
        <v>1.0674092788240699</v>
      </c>
    </row>
    <row r="46" spans="1:14" x14ac:dyDescent="0.25">
      <c r="A46" s="4" t="s">
        <v>47</v>
      </c>
      <c r="B46" s="6">
        <v>8579</v>
      </c>
      <c r="C46" s="6">
        <v>6940</v>
      </c>
      <c r="D46" s="6">
        <v>8112</v>
      </c>
      <c r="E46" s="6">
        <v>6604</v>
      </c>
      <c r="F46" s="13">
        <v>7998</v>
      </c>
      <c r="G46" s="42">
        <f t="shared" si="5"/>
        <v>-1639</v>
      </c>
      <c r="H46" s="44">
        <f t="shared" si="6"/>
        <v>-0.19104790768154797</v>
      </c>
      <c r="I46" s="42">
        <f t="shared" si="7"/>
        <v>-467</v>
      </c>
      <c r="J46" s="44">
        <f t="shared" si="0"/>
        <v>-5.4435248863503906E-2</v>
      </c>
      <c r="K46" s="42">
        <f t="shared" si="1"/>
        <v>-1975</v>
      </c>
      <c r="L46" s="44">
        <f t="shared" si="2"/>
        <v>-0.23021331157477562</v>
      </c>
      <c r="M46" s="7">
        <f t="shared" si="3"/>
        <v>-581</v>
      </c>
      <c r="N46" s="44">
        <f t="shared" si="4"/>
        <v>-6.7723510898706138E-2</v>
      </c>
    </row>
    <row r="47" spans="1:14" x14ac:dyDescent="0.25">
      <c r="A47" s="2" t="s">
        <v>39</v>
      </c>
      <c r="B47" s="22" t="s">
        <v>10</v>
      </c>
      <c r="C47" s="22" t="s">
        <v>10</v>
      </c>
      <c r="D47" s="6">
        <v>10532</v>
      </c>
      <c r="E47" s="6">
        <v>10051</v>
      </c>
      <c r="F47" s="13">
        <v>15797</v>
      </c>
      <c r="G47" s="42"/>
      <c r="H47" s="44"/>
      <c r="I47" s="42"/>
      <c r="J47" s="44"/>
      <c r="K47" s="42"/>
      <c r="L47" s="44"/>
      <c r="M47" s="7"/>
      <c r="N47" s="44"/>
    </row>
    <row r="48" spans="1:14" x14ac:dyDescent="0.25">
      <c r="A48" s="2" t="s">
        <v>38</v>
      </c>
      <c r="B48" s="6">
        <v>780</v>
      </c>
      <c r="C48" s="6">
        <v>13789</v>
      </c>
      <c r="D48" s="6">
        <v>10658</v>
      </c>
      <c r="E48" s="6">
        <v>16195</v>
      </c>
      <c r="F48" s="13">
        <v>40174</v>
      </c>
      <c r="G48" s="42">
        <f t="shared" si="5"/>
        <v>13009</v>
      </c>
      <c r="H48" s="44">
        <f t="shared" si="6"/>
        <v>16.678205128205128</v>
      </c>
      <c r="I48" s="42">
        <f t="shared" si="7"/>
        <v>9878</v>
      </c>
      <c r="J48" s="44">
        <f t="shared" si="0"/>
        <v>12.664102564102564</v>
      </c>
      <c r="K48" s="42">
        <f t="shared" si="1"/>
        <v>15415</v>
      </c>
      <c r="L48" s="44">
        <f t="shared" si="2"/>
        <v>19.762820512820515</v>
      </c>
      <c r="M48" s="7">
        <f t="shared" si="3"/>
        <v>39394</v>
      </c>
      <c r="N48" s="44">
        <f t="shared" si="4"/>
        <v>50.505128205128209</v>
      </c>
    </row>
    <row r="49" spans="1:14" x14ac:dyDescent="0.25">
      <c r="A49" s="2" t="s">
        <v>48</v>
      </c>
      <c r="B49" s="6">
        <v>531</v>
      </c>
      <c r="C49" s="6">
        <v>1397</v>
      </c>
      <c r="D49" s="6">
        <v>9</v>
      </c>
      <c r="E49" s="6">
        <v>1643</v>
      </c>
      <c r="F49" s="13">
        <v>9</v>
      </c>
      <c r="G49" s="42">
        <f t="shared" si="5"/>
        <v>866</v>
      </c>
      <c r="H49" s="44">
        <f t="shared" si="6"/>
        <v>1.6308851224105461</v>
      </c>
      <c r="I49" s="42">
        <f t="shared" si="7"/>
        <v>-522</v>
      </c>
      <c r="J49" s="44">
        <f t="shared" si="0"/>
        <v>-0.98305084745762716</v>
      </c>
      <c r="K49" s="42">
        <f t="shared" si="1"/>
        <v>1112</v>
      </c>
      <c r="L49" s="44">
        <f t="shared" si="2"/>
        <v>2.0941619585687383</v>
      </c>
      <c r="M49" s="7">
        <f t="shared" si="3"/>
        <v>-522</v>
      </c>
      <c r="N49" s="44">
        <f t="shared" si="4"/>
        <v>-0.98305084745762716</v>
      </c>
    </row>
    <row r="50" spans="1:14" x14ac:dyDescent="0.25">
      <c r="A50" s="2" t="s">
        <v>49</v>
      </c>
      <c r="B50" s="6">
        <v>1627</v>
      </c>
      <c r="C50" s="6">
        <v>2782</v>
      </c>
      <c r="D50" s="6">
        <v>1460</v>
      </c>
      <c r="E50" s="6">
        <v>2312</v>
      </c>
      <c r="F50" s="13">
        <v>2428</v>
      </c>
      <c r="G50" s="42">
        <f t="shared" si="5"/>
        <v>1155</v>
      </c>
      <c r="H50" s="44">
        <f t="shared" si="6"/>
        <v>0.70989551321450517</v>
      </c>
      <c r="I50" s="42">
        <f t="shared" si="7"/>
        <v>-167</v>
      </c>
      <c r="J50" s="44">
        <f t="shared" si="0"/>
        <v>-0.10264290104486785</v>
      </c>
      <c r="K50" s="42">
        <f t="shared" si="1"/>
        <v>685</v>
      </c>
      <c r="L50" s="44">
        <f t="shared" si="2"/>
        <v>0.42102028272894898</v>
      </c>
      <c r="M50" s="7">
        <f t="shared" si="3"/>
        <v>801</v>
      </c>
      <c r="N50" s="44">
        <f t="shared" si="4"/>
        <v>0.49231714812538413</v>
      </c>
    </row>
    <row r="51" spans="1:14" x14ac:dyDescent="0.25">
      <c r="A51" s="2" t="s">
        <v>50</v>
      </c>
      <c r="B51" s="6">
        <v>444</v>
      </c>
      <c r="C51" s="6">
        <v>2962</v>
      </c>
      <c r="D51" s="6">
        <v>368</v>
      </c>
      <c r="E51" s="6">
        <v>988</v>
      </c>
      <c r="F51" s="13">
        <v>164</v>
      </c>
      <c r="G51" s="42">
        <f t="shared" si="5"/>
        <v>2518</v>
      </c>
      <c r="H51" s="44">
        <f t="shared" si="6"/>
        <v>5.6711711711711708</v>
      </c>
      <c r="I51" s="42">
        <f t="shared" si="7"/>
        <v>-76</v>
      </c>
      <c r="J51" s="44">
        <f t="shared" si="0"/>
        <v>-0.17117117117117117</v>
      </c>
      <c r="K51" s="42">
        <f t="shared" si="1"/>
        <v>544</v>
      </c>
      <c r="L51" s="44">
        <f t="shared" si="2"/>
        <v>1.2252252252252251</v>
      </c>
      <c r="M51" s="7">
        <f t="shared" si="3"/>
        <v>-280</v>
      </c>
      <c r="N51" s="44">
        <f t="shared" si="4"/>
        <v>-0.63063063063063063</v>
      </c>
    </row>
    <row r="52" spans="1:14" x14ac:dyDescent="0.25">
      <c r="A52" s="11" t="s">
        <v>51</v>
      </c>
      <c r="B52" s="5">
        <f t="shared" ref="B52:C52" si="13">SUM(B44:B51)</f>
        <v>98367</v>
      </c>
      <c r="C52" s="5">
        <f t="shared" si="13"/>
        <v>205725</v>
      </c>
      <c r="D52" s="5">
        <f>SUM(D44:D51)</f>
        <v>220179</v>
      </c>
      <c r="E52" s="5">
        <f>SUM(E44:E51)</f>
        <v>260001</v>
      </c>
      <c r="F52" s="12">
        <f>SUM(F44:F51)</f>
        <v>321897</v>
      </c>
      <c r="G52" s="45">
        <f t="shared" si="5"/>
        <v>107358</v>
      </c>
      <c r="H52" s="46">
        <f t="shared" si="6"/>
        <v>1.0914026045320078</v>
      </c>
      <c r="I52" s="45">
        <f t="shared" si="7"/>
        <v>121812</v>
      </c>
      <c r="J52" s="46">
        <f t="shared" si="0"/>
        <v>1.2383421269328128</v>
      </c>
      <c r="K52" s="45">
        <f t="shared" si="1"/>
        <v>161634</v>
      </c>
      <c r="L52" s="46">
        <f t="shared" si="2"/>
        <v>1.6431730153405106</v>
      </c>
      <c r="M52" s="39">
        <f t="shared" si="3"/>
        <v>223530</v>
      </c>
      <c r="N52" s="46">
        <f t="shared" si="4"/>
        <v>2.272408429656287</v>
      </c>
    </row>
    <row r="53" spans="1:14" x14ac:dyDescent="0.25">
      <c r="A53" s="10" t="s">
        <v>52</v>
      </c>
      <c r="B53" s="5">
        <f t="shared" ref="B53:C53" si="14">B42+B52</f>
        <v>98371</v>
      </c>
      <c r="C53" s="5">
        <f t="shared" si="14"/>
        <v>254059</v>
      </c>
      <c r="D53" s="5">
        <f>D42+D52</f>
        <v>317501</v>
      </c>
      <c r="E53" s="5">
        <f>E42+E52</f>
        <v>363065</v>
      </c>
      <c r="F53" s="12">
        <f>F42+F52</f>
        <v>420160</v>
      </c>
      <c r="G53" s="45">
        <f t="shared" si="5"/>
        <v>155688</v>
      </c>
      <c r="H53" s="46">
        <f t="shared" si="6"/>
        <v>1.5826615567596141</v>
      </c>
      <c r="I53" s="45">
        <f t="shared" si="7"/>
        <v>219130</v>
      </c>
      <c r="J53" s="46">
        <f t="shared" si="0"/>
        <v>2.2275873987252339</v>
      </c>
      <c r="K53" s="45">
        <f t="shared" si="1"/>
        <v>264694</v>
      </c>
      <c r="L53" s="46">
        <f t="shared" si="2"/>
        <v>2.6907726870724096</v>
      </c>
      <c r="M53" s="39">
        <f t="shared" si="3"/>
        <v>321789</v>
      </c>
      <c r="N53" s="46">
        <f t="shared" si="4"/>
        <v>3.2711774811682304</v>
      </c>
    </row>
    <row r="54" spans="1:14" x14ac:dyDescent="0.25">
      <c r="A54" s="18" t="s">
        <v>53</v>
      </c>
      <c r="B54" s="16">
        <f>B35+B53</f>
        <v>121525</v>
      </c>
      <c r="C54" s="16">
        <f>C35+C53</f>
        <v>285434</v>
      </c>
      <c r="D54" s="16">
        <f>D35+D53</f>
        <v>349628</v>
      </c>
      <c r="E54" s="16">
        <f>E35+E53</f>
        <v>396704</v>
      </c>
      <c r="F54" s="35">
        <f>F35+F53</f>
        <v>443372</v>
      </c>
      <c r="G54" s="45">
        <f t="shared" si="5"/>
        <v>163909</v>
      </c>
      <c r="H54" s="46">
        <f t="shared" si="6"/>
        <v>1.3487677432627032</v>
      </c>
      <c r="I54" s="45">
        <f t="shared" si="7"/>
        <v>228103</v>
      </c>
      <c r="J54" s="49">
        <f t="shared" si="0"/>
        <v>1.8770047315367209</v>
      </c>
      <c r="K54" s="45">
        <f t="shared" si="1"/>
        <v>275179</v>
      </c>
      <c r="L54" s="46">
        <f t="shared" si="2"/>
        <v>2.2643818144414731</v>
      </c>
      <c r="M54" s="39">
        <f t="shared" si="3"/>
        <v>321847</v>
      </c>
      <c r="N54" s="46">
        <f t="shared" si="4"/>
        <v>2.6484015634643079</v>
      </c>
    </row>
    <row r="55" spans="1:14" x14ac:dyDescent="0.25">
      <c r="G55" s="42"/>
      <c r="H55" s="44"/>
      <c r="I55" s="42"/>
      <c r="J55" s="44"/>
      <c r="K55" s="42"/>
      <c r="L55" s="44"/>
      <c r="M55" s="7"/>
      <c r="N55" s="44"/>
    </row>
    <row r="56" spans="1:14" x14ac:dyDescent="0.25">
      <c r="A56" s="25" t="s">
        <v>55</v>
      </c>
      <c r="B56" s="19">
        <v>198197</v>
      </c>
      <c r="C56" s="19">
        <v>321102</v>
      </c>
      <c r="D56" s="19">
        <v>365216</v>
      </c>
      <c r="E56" s="19">
        <v>417857</v>
      </c>
      <c r="F56" s="37">
        <v>476364</v>
      </c>
      <c r="G56" s="42">
        <f t="shared" si="5"/>
        <v>122905</v>
      </c>
      <c r="H56" s="44">
        <f t="shared" si="6"/>
        <v>0.62011533978819056</v>
      </c>
      <c r="I56" s="42">
        <f t="shared" si="7"/>
        <v>167019</v>
      </c>
      <c r="J56" s="44">
        <f t="shared" si="0"/>
        <v>0.84269186718265165</v>
      </c>
      <c r="K56" s="42">
        <f t="shared" si="1"/>
        <v>219660</v>
      </c>
      <c r="L56" s="44">
        <f t="shared" si="2"/>
        <v>1.1082912455788938</v>
      </c>
      <c r="M56" s="7">
        <f t="shared" si="3"/>
        <v>278167</v>
      </c>
      <c r="N56" s="44">
        <f t="shared" si="4"/>
        <v>1.4034874392649737</v>
      </c>
    </row>
    <row r="57" spans="1:14" x14ac:dyDescent="0.25">
      <c r="A57" s="2" t="s">
        <v>56</v>
      </c>
      <c r="B57" s="21">
        <v>-151670</v>
      </c>
      <c r="C57" s="19">
        <v>-242463</v>
      </c>
      <c r="D57" s="19">
        <v>-274143</v>
      </c>
      <c r="E57" s="19">
        <v>-320522</v>
      </c>
      <c r="F57" s="37">
        <v>-381419</v>
      </c>
      <c r="G57" s="42">
        <f t="shared" si="5"/>
        <v>-90793</v>
      </c>
      <c r="H57" s="44">
        <f t="shared" si="6"/>
        <v>0.59862200830750978</v>
      </c>
      <c r="I57" s="42">
        <f t="shared" si="7"/>
        <v>-122473</v>
      </c>
      <c r="J57" s="44">
        <f t="shared" si="0"/>
        <v>0.80749653853761461</v>
      </c>
      <c r="K57" s="42">
        <f t="shared" si="1"/>
        <v>-168852</v>
      </c>
      <c r="L57" s="44">
        <f t="shared" si="2"/>
        <v>1.113285422298411</v>
      </c>
      <c r="M57" s="7">
        <f t="shared" si="3"/>
        <v>-229749</v>
      </c>
      <c r="N57" s="44">
        <f t="shared" si="4"/>
        <v>1.5147952792246324</v>
      </c>
    </row>
    <row r="58" spans="1:14" x14ac:dyDescent="0.25">
      <c r="A58" s="26" t="s">
        <v>57</v>
      </c>
      <c r="B58" s="16">
        <f t="shared" ref="B58:E58" si="15">B56+B57</f>
        <v>46527</v>
      </c>
      <c r="C58" s="16">
        <f t="shared" si="15"/>
        <v>78639</v>
      </c>
      <c r="D58" s="16">
        <f t="shared" si="15"/>
        <v>91073</v>
      </c>
      <c r="E58" s="16">
        <f t="shared" si="15"/>
        <v>97335</v>
      </c>
      <c r="F58" s="35">
        <f>F56+F57</f>
        <v>94945</v>
      </c>
      <c r="G58" s="45">
        <f t="shared" si="5"/>
        <v>32112</v>
      </c>
      <c r="H58" s="46">
        <f t="shared" si="6"/>
        <v>0.69017989554452253</v>
      </c>
      <c r="I58" s="45">
        <f t="shared" si="7"/>
        <v>44546</v>
      </c>
      <c r="J58" s="46">
        <f t="shared" si="0"/>
        <v>0.9574225718400069</v>
      </c>
      <c r="K58" s="45">
        <f t="shared" si="1"/>
        <v>50808</v>
      </c>
      <c r="L58" s="49">
        <f t="shared" si="2"/>
        <v>1.0920110903346445</v>
      </c>
      <c r="M58" s="39">
        <f t="shared" si="3"/>
        <v>48418</v>
      </c>
      <c r="N58" s="46">
        <f t="shared" si="4"/>
        <v>1.0406430674662024</v>
      </c>
    </row>
    <row r="59" spans="1:14" ht="30" x14ac:dyDescent="0.25">
      <c r="A59" s="4" t="s">
        <v>58</v>
      </c>
      <c r="B59" s="6">
        <v>-40754</v>
      </c>
      <c r="C59" s="6">
        <v>-69234</v>
      </c>
      <c r="D59" s="6">
        <v>-72546</v>
      </c>
      <c r="E59" s="6">
        <v>-78818</v>
      </c>
      <c r="F59" s="13">
        <v>-87192</v>
      </c>
      <c r="G59" s="42">
        <f t="shared" si="5"/>
        <v>-28480</v>
      </c>
      <c r="H59" s="44">
        <f t="shared" si="6"/>
        <v>0.69882710899543599</v>
      </c>
      <c r="I59" s="42">
        <f t="shared" si="7"/>
        <v>-31792</v>
      </c>
      <c r="J59" s="44">
        <f t="shared" si="0"/>
        <v>0.7800952053786131</v>
      </c>
      <c r="K59" s="42">
        <f t="shared" si="1"/>
        <v>-38064</v>
      </c>
      <c r="L59" s="44">
        <f t="shared" si="2"/>
        <v>0.93399420915738329</v>
      </c>
      <c r="M59" s="7">
        <f t="shared" si="3"/>
        <v>-46438</v>
      </c>
      <c r="N59" s="44">
        <f t="shared" si="4"/>
        <v>1.1394709721745104</v>
      </c>
    </row>
    <row r="60" spans="1:14" x14ac:dyDescent="0.25">
      <c r="A60" s="4" t="s">
        <v>59</v>
      </c>
      <c r="B60" s="6">
        <v>2623</v>
      </c>
      <c r="C60" s="6">
        <v>6079</v>
      </c>
      <c r="D60" s="6">
        <v>6408</v>
      </c>
      <c r="E60" s="6">
        <v>4987</v>
      </c>
      <c r="F60" s="13">
        <v>6403</v>
      </c>
      <c r="G60" s="42">
        <f t="shared" si="5"/>
        <v>3456</v>
      </c>
      <c r="H60" s="44">
        <f t="shared" si="6"/>
        <v>1.3175752954632101</v>
      </c>
      <c r="I60" s="42">
        <f t="shared" si="7"/>
        <v>3785</v>
      </c>
      <c r="J60" s="44">
        <f t="shared" si="0"/>
        <v>1.4430041936713687</v>
      </c>
      <c r="K60" s="42">
        <f t="shared" si="1"/>
        <v>2364</v>
      </c>
      <c r="L60" s="44">
        <f t="shared" si="2"/>
        <v>0.90125810141059859</v>
      </c>
      <c r="M60" s="7">
        <f t="shared" si="3"/>
        <v>3780</v>
      </c>
      <c r="N60" s="44">
        <f t="shared" si="4"/>
        <v>1.441097979412886</v>
      </c>
    </row>
    <row r="61" spans="1:14" x14ac:dyDescent="0.25">
      <c r="A61" s="4" t="s">
        <v>60</v>
      </c>
      <c r="B61" s="6">
        <v>-216</v>
      </c>
      <c r="C61" s="6">
        <v>-801</v>
      </c>
      <c r="D61" s="6">
        <v>-821</v>
      </c>
      <c r="E61" s="6">
        <v>-577</v>
      </c>
      <c r="F61" s="13">
        <v>-414</v>
      </c>
      <c r="G61" s="42">
        <f t="shared" si="5"/>
        <v>-585</v>
      </c>
      <c r="H61" s="44">
        <f t="shared" si="6"/>
        <v>2.7083333333333335</v>
      </c>
      <c r="I61" s="42">
        <f t="shared" si="7"/>
        <v>-605</v>
      </c>
      <c r="J61" s="44">
        <f t="shared" si="0"/>
        <v>2.800925925925926</v>
      </c>
      <c r="K61" s="42">
        <f t="shared" si="1"/>
        <v>-361</v>
      </c>
      <c r="L61" s="44">
        <f t="shared" si="2"/>
        <v>1.6712962962962963</v>
      </c>
      <c r="M61" s="7">
        <f t="shared" si="3"/>
        <v>-198</v>
      </c>
      <c r="N61" s="44">
        <f t="shared" si="4"/>
        <v>0.91666666666666663</v>
      </c>
    </row>
    <row r="62" spans="1:14" x14ac:dyDescent="0.25">
      <c r="A62" s="14" t="s">
        <v>61</v>
      </c>
      <c r="B62" s="5">
        <f t="shared" ref="B62:E62" si="16">SUM(B58:B61)</f>
        <v>8180</v>
      </c>
      <c r="C62" s="5">
        <f t="shared" si="16"/>
        <v>14683</v>
      </c>
      <c r="D62" s="5">
        <f t="shared" si="16"/>
        <v>24114</v>
      </c>
      <c r="E62" s="5">
        <f t="shared" si="16"/>
        <v>22927</v>
      </c>
      <c r="F62" s="12">
        <f>SUM(F58:F61)</f>
        <v>13742</v>
      </c>
      <c r="G62" s="45">
        <f t="shared" si="5"/>
        <v>6503</v>
      </c>
      <c r="H62" s="49">
        <f t="shared" si="6"/>
        <v>0.79498777506112472</v>
      </c>
      <c r="I62" s="45">
        <f t="shared" si="7"/>
        <v>15934</v>
      </c>
      <c r="J62" s="46">
        <f t="shared" si="0"/>
        <v>1.947921760391198</v>
      </c>
      <c r="K62" s="45">
        <f t="shared" si="1"/>
        <v>14747</v>
      </c>
      <c r="L62" s="46">
        <f t="shared" si="2"/>
        <v>1.8028117359413203</v>
      </c>
      <c r="M62" s="39">
        <f t="shared" si="3"/>
        <v>5562</v>
      </c>
      <c r="N62" s="46">
        <f t="shared" si="4"/>
        <v>0.67995110024449879</v>
      </c>
    </row>
    <row r="63" spans="1:14" x14ac:dyDescent="0.25">
      <c r="A63" s="2" t="s">
        <v>62</v>
      </c>
      <c r="B63" s="6">
        <v>659</v>
      </c>
      <c r="C63" s="6">
        <v>509</v>
      </c>
      <c r="D63" s="6">
        <v>295</v>
      </c>
      <c r="E63" s="6">
        <v>491</v>
      </c>
      <c r="F63" s="13">
        <v>164</v>
      </c>
      <c r="G63" s="42">
        <f t="shared" si="5"/>
        <v>-150</v>
      </c>
      <c r="H63" s="44">
        <f t="shared" si="6"/>
        <v>-0.22761760242792109</v>
      </c>
      <c r="I63" s="42">
        <f t="shared" si="7"/>
        <v>-364</v>
      </c>
      <c r="J63" s="44">
        <f t="shared" si="0"/>
        <v>-0.5523520485584219</v>
      </c>
      <c r="K63" s="42">
        <f t="shared" si="1"/>
        <v>-168</v>
      </c>
      <c r="L63" s="44">
        <f t="shared" si="2"/>
        <v>-0.25493171471927162</v>
      </c>
      <c r="M63" s="7">
        <f t="shared" si="3"/>
        <v>-495</v>
      </c>
      <c r="N63" s="44">
        <f t="shared" si="4"/>
        <v>-0.75113808801213966</v>
      </c>
    </row>
    <row r="64" spans="1:14" x14ac:dyDescent="0.25">
      <c r="A64" s="2" t="s">
        <v>63</v>
      </c>
      <c r="B64" s="22" t="s">
        <v>10</v>
      </c>
      <c r="C64" s="6">
        <v>-3617</v>
      </c>
      <c r="D64" s="6">
        <v>-12961</v>
      </c>
      <c r="E64" s="6">
        <v>-12733</v>
      </c>
      <c r="F64" s="13">
        <v>-14417</v>
      </c>
      <c r="G64" s="42"/>
      <c r="H64" s="44"/>
      <c r="I64" s="42"/>
      <c r="J64" s="44"/>
      <c r="K64" s="42"/>
      <c r="L64" s="44"/>
      <c r="M64" s="7"/>
      <c r="N64" s="44"/>
    </row>
    <row r="65" spans="1:14" ht="45" x14ac:dyDescent="0.25">
      <c r="A65" s="4" t="s">
        <v>64</v>
      </c>
      <c r="B65" s="22" t="s">
        <v>10</v>
      </c>
      <c r="C65" s="22" t="s">
        <v>10</v>
      </c>
      <c r="D65" s="22" t="s">
        <v>10</v>
      </c>
      <c r="E65" s="20" t="s">
        <v>10</v>
      </c>
      <c r="F65" s="13">
        <v>4576</v>
      </c>
      <c r="G65" s="42"/>
      <c r="H65" s="44"/>
      <c r="I65" s="42"/>
      <c r="J65" s="44"/>
      <c r="K65" s="42"/>
      <c r="L65" s="44"/>
      <c r="M65" s="7"/>
      <c r="N65" s="44"/>
    </row>
    <row r="66" spans="1:14" ht="30" x14ac:dyDescent="0.25">
      <c r="A66" s="4" t="s">
        <v>65</v>
      </c>
      <c r="B66" s="22" t="s">
        <v>10</v>
      </c>
      <c r="C66" s="22" t="s">
        <v>10</v>
      </c>
      <c r="D66" s="6">
        <v>-1955</v>
      </c>
      <c r="E66" s="6">
        <v>-2468</v>
      </c>
      <c r="F66" s="13">
        <v>-945</v>
      </c>
      <c r="G66" s="42"/>
      <c r="H66" s="44"/>
      <c r="I66" s="42"/>
      <c r="J66" s="44"/>
      <c r="K66" s="42"/>
      <c r="L66" s="44"/>
      <c r="M66" s="7"/>
      <c r="N66" s="44"/>
    </row>
    <row r="67" spans="1:14" x14ac:dyDescent="0.25">
      <c r="A67" s="14" t="s">
        <v>66</v>
      </c>
      <c r="B67" s="5">
        <f t="shared" ref="B67:D67" si="17">SUM(B62:B66)</f>
        <v>8839</v>
      </c>
      <c r="C67" s="5">
        <f t="shared" si="17"/>
        <v>11575</v>
      </c>
      <c r="D67" s="5">
        <f t="shared" si="17"/>
        <v>9493</v>
      </c>
      <c r="E67" s="5">
        <f>SUM(E62:E66)</f>
        <v>8217</v>
      </c>
      <c r="F67" s="12">
        <f>SUM(F62:F66)</f>
        <v>3120</v>
      </c>
      <c r="G67" s="45">
        <f t="shared" si="5"/>
        <v>2736</v>
      </c>
      <c r="H67" s="46">
        <f t="shared" si="6"/>
        <v>0.30953727797262132</v>
      </c>
      <c r="I67" s="45">
        <f t="shared" si="7"/>
        <v>654</v>
      </c>
      <c r="J67" s="49">
        <f t="shared" si="0"/>
        <v>7.3990270392578342E-2</v>
      </c>
      <c r="K67" s="45">
        <f t="shared" si="1"/>
        <v>-622</v>
      </c>
      <c r="L67" s="46">
        <f t="shared" si="2"/>
        <v>-7.0369951351962889E-2</v>
      </c>
      <c r="M67" s="39">
        <f t="shared" si="3"/>
        <v>-5719</v>
      </c>
      <c r="N67" s="49">
        <f t="shared" si="4"/>
        <v>-0.6470188935399932</v>
      </c>
    </row>
    <row r="68" spans="1:14" x14ac:dyDescent="0.25">
      <c r="A68" s="2" t="s">
        <v>67</v>
      </c>
      <c r="B68" s="6">
        <v>-1885</v>
      </c>
      <c r="C68" s="6">
        <v>-3210</v>
      </c>
      <c r="D68" s="6">
        <v>-2359</v>
      </c>
      <c r="E68" s="6">
        <v>-1676</v>
      </c>
      <c r="F68" s="13">
        <v>-740</v>
      </c>
      <c r="G68" s="42">
        <f t="shared" si="5"/>
        <v>-1325</v>
      </c>
      <c r="H68" s="44">
        <f t="shared" si="6"/>
        <v>0.70291777188328908</v>
      </c>
      <c r="I68" s="42">
        <f t="shared" si="7"/>
        <v>-474</v>
      </c>
      <c r="J68" s="44">
        <f t="shared" si="0"/>
        <v>0.25145888594164456</v>
      </c>
      <c r="K68" s="42">
        <f t="shared" si="1"/>
        <v>209</v>
      </c>
      <c r="L68" s="44">
        <f t="shared" si="2"/>
        <v>-0.11087533156498673</v>
      </c>
      <c r="M68" s="7">
        <f t="shared" si="3"/>
        <v>1145</v>
      </c>
      <c r="N68" s="44">
        <f t="shared" si="4"/>
        <v>-0.60742705570291777</v>
      </c>
    </row>
    <row r="69" spans="1:14" ht="30" x14ac:dyDescent="0.25">
      <c r="A69" s="18" t="s">
        <v>68</v>
      </c>
      <c r="B69" s="5">
        <f t="shared" ref="B69:E69" si="18">B67+B68</f>
        <v>6954</v>
      </c>
      <c r="C69" s="5">
        <f t="shared" si="18"/>
        <v>8365</v>
      </c>
      <c r="D69" s="5">
        <f t="shared" si="18"/>
        <v>7134</v>
      </c>
      <c r="E69" s="5">
        <f t="shared" si="18"/>
        <v>6541</v>
      </c>
      <c r="F69" s="12">
        <f>F67+F68</f>
        <v>2380</v>
      </c>
      <c r="G69" s="45">
        <f t="shared" si="5"/>
        <v>1411</v>
      </c>
      <c r="H69" s="46">
        <f t="shared" si="6"/>
        <v>0.20290480299108427</v>
      </c>
      <c r="I69" s="45">
        <f t="shared" si="7"/>
        <v>180</v>
      </c>
      <c r="J69" s="46">
        <f t="shared" si="0"/>
        <v>2.5884383088869714E-2</v>
      </c>
      <c r="K69" s="45">
        <f t="shared" si="1"/>
        <v>-413</v>
      </c>
      <c r="L69" s="46">
        <f t="shared" si="2"/>
        <v>-5.9390278976128849E-2</v>
      </c>
      <c r="M69" s="39">
        <f t="shared" si="3"/>
        <v>-4574</v>
      </c>
      <c r="N69" s="46">
        <f t="shared" si="4"/>
        <v>-0.65775093471383372</v>
      </c>
    </row>
    <row r="71" spans="1:14" ht="18.75" x14ac:dyDescent="0.3">
      <c r="A71" s="51" t="s">
        <v>80</v>
      </c>
      <c r="B71" s="33"/>
      <c r="C71" s="31"/>
      <c r="D71" s="32"/>
      <c r="E71" s="31"/>
      <c r="F71" s="31"/>
    </row>
    <row r="72" spans="1:14" x14ac:dyDescent="0.25">
      <c r="B72" s="52" t="s">
        <v>81</v>
      </c>
      <c r="C72" s="52" t="s">
        <v>74</v>
      </c>
      <c r="D72" s="52" t="s">
        <v>75</v>
      </c>
      <c r="E72" s="52" t="s">
        <v>76</v>
      </c>
      <c r="F72" s="52" t="s">
        <v>77</v>
      </c>
      <c r="H72" s="52" t="s">
        <v>81</v>
      </c>
      <c r="I72" s="52" t="s">
        <v>74</v>
      </c>
      <c r="J72" s="52" t="s">
        <v>75</v>
      </c>
      <c r="K72" s="52" t="s">
        <v>76</v>
      </c>
      <c r="L72" s="52" t="s">
        <v>77</v>
      </c>
    </row>
    <row r="73" spans="1:14" x14ac:dyDescent="0.25">
      <c r="A73" s="5" t="s">
        <v>82</v>
      </c>
      <c r="B73" s="5">
        <v>121525</v>
      </c>
      <c r="C73" s="5">
        <v>285434</v>
      </c>
      <c r="D73" s="5">
        <v>349628</v>
      </c>
      <c r="E73" s="5">
        <v>396704</v>
      </c>
      <c r="F73" s="5">
        <v>443372</v>
      </c>
      <c r="H73" s="54">
        <f>B73/$B$73</f>
        <v>1</v>
      </c>
      <c r="I73" s="53">
        <f t="shared" ref="I73:K73" si="19">C73/$B$73</f>
        <v>2.348767743262703</v>
      </c>
      <c r="J73" s="53">
        <f t="shared" si="19"/>
        <v>2.8770047315367209</v>
      </c>
      <c r="K73" s="53">
        <f t="shared" si="19"/>
        <v>3.2643818144414731</v>
      </c>
      <c r="L73" s="53">
        <f>F73/$B$73</f>
        <v>3.6484015634643079</v>
      </c>
    </row>
    <row r="74" spans="1:14" x14ac:dyDescent="0.25">
      <c r="A74" s="10" t="s">
        <v>52</v>
      </c>
      <c r="B74" s="5">
        <v>98371</v>
      </c>
      <c r="C74" s="5">
        <v>254059</v>
      </c>
      <c r="D74" s="5">
        <v>317501</v>
      </c>
      <c r="E74" s="5">
        <v>363065</v>
      </c>
      <c r="F74" s="5">
        <v>420160</v>
      </c>
      <c r="H74" s="54">
        <f>B74/$B$74</f>
        <v>1</v>
      </c>
      <c r="I74" s="53">
        <f t="shared" ref="I74:L74" si="20">C74/$B$74</f>
        <v>2.5826615567596143</v>
      </c>
      <c r="J74" s="53">
        <f t="shared" si="20"/>
        <v>3.2275873987252339</v>
      </c>
      <c r="K74" s="53">
        <f t="shared" si="20"/>
        <v>3.6907726870724096</v>
      </c>
      <c r="L74" s="53">
        <f t="shared" si="20"/>
        <v>4.2711774811682304</v>
      </c>
    </row>
    <row r="75" spans="1:14" x14ac:dyDescent="0.25">
      <c r="A75" s="39" t="s">
        <v>36</v>
      </c>
      <c r="B75" s="16">
        <v>23154</v>
      </c>
      <c r="C75" s="16">
        <v>31375</v>
      </c>
      <c r="D75" s="16">
        <v>32127</v>
      </c>
      <c r="E75" s="16">
        <v>33639</v>
      </c>
      <c r="F75" s="16">
        <v>23212</v>
      </c>
      <c r="H75" s="54">
        <f>B75/$B$75</f>
        <v>1</v>
      </c>
      <c r="I75" s="53">
        <f t="shared" ref="I75:L75" si="21">C75/$B$75</f>
        <v>1.3550574414787941</v>
      </c>
      <c r="J75" s="53">
        <f t="shared" si="21"/>
        <v>1.3875356309924851</v>
      </c>
      <c r="K75" s="53">
        <f t="shared" si="21"/>
        <v>1.452837522674268</v>
      </c>
      <c r="L75" s="53">
        <f t="shared" si="21"/>
        <v>1.002504966744407</v>
      </c>
    </row>
    <row r="100" spans="1:12" x14ac:dyDescent="0.25">
      <c r="B100" s="52" t="s">
        <v>81</v>
      </c>
      <c r="C100" s="52" t="s">
        <v>74</v>
      </c>
      <c r="D100" s="52" t="s">
        <v>75</v>
      </c>
      <c r="E100" s="52" t="s">
        <v>76</v>
      </c>
      <c r="F100" s="52" t="s">
        <v>77</v>
      </c>
      <c r="H100" s="52" t="s">
        <v>81</v>
      </c>
      <c r="I100" s="52" t="s">
        <v>74</v>
      </c>
      <c r="J100" s="52" t="s">
        <v>75</v>
      </c>
      <c r="K100" s="52" t="s">
        <v>76</v>
      </c>
      <c r="L100" s="52" t="s">
        <v>77</v>
      </c>
    </row>
    <row r="101" spans="1:12" x14ac:dyDescent="0.25">
      <c r="A101" s="19" t="s">
        <v>55</v>
      </c>
      <c r="B101" s="19">
        <v>198197</v>
      </c>
      <c r="C101" s="19">
        <v>321102</v>
      </c>
      <c r="D101" s="19">
        <v>365216</v>
      </c>
      <c r="E101" s="19">
        <v>417857</v>
      </c>
      <c r="F101" s="19">
        <v>476364</v>
      </c>
      <c r="H101" s="54">
        <f>B101/$B$101</f>
        <v>1</v>
      </c>
      <c r="I101" s="53">
        <f t="shared" ref="I101:L101" si="22">C101/$B$101</f>
        <v>1.6201153397881904</v>
      </c>
      <c r="J101" s="53">
        <f t="shared" si="22"/>
        <v>1.8426918671826515</v>
      </c>
      <c r="K101" s="53">
        <f t="shared" si="22"/>
        <v>2.1082912455788936</v>
      </c>
      <c r="L101" s="53">
        <f t="shared" si="22"/>
        <v>2.4034874392649739</v>
      </c>
    </row>
    <row r="102" spans="1:12" x14ac:dyDescent="0.25">
      <c r="A102" s="6" t="s">
        <v>56</v>
      </c>
      <c r="B102" s="21">
        <v>-151670</v>
      </c>
      <c r="C102" s="19">
        <v>-242463</v>
      </c>
      <c r="D102" s="19">
        <v>-274143</v>
      </c>
      <c r="E102" s="19">
        <v>-320522</v>
      </c>
      <c r="F102" s="19">
        <v>-381419</v>
      </c>
      <c r="H102" s="54">
        <f>B102/$B$102</f>
        <v>1</v>
      </c>
      <c r="I102" s="53">
        <f t="shared" ref="I102:L102" si="23">C102/$B$102</f>
        <v>1.5986220083075098</v>
      </c>
      <c r="J102" s="53">
        <f t="shared" si="23"/>
        <v>1.8074965385376145</v>
      </c>
      <c r="K102" s="53">
        <f t="shared" si="23"/>
        <v>2.1132854222984112</v>
      </c>
      <c r="L102" s="53">
        <f t="shared" si="23"/>
        <v>2.5147952792246326</v>
      </c>
    </row>
    <row r="103" spans="1:12" x14ac:dyDescent="0.25">
      <c r="A103" s="19" t="s">
        <v>83</v>
      </c>
      <c r="B103" s="19">
        <v>46527</v>
      </c>
      <c r="C103" s="19">
        <v>78639</v>
      </c>
      <c r="D103" s="19">
        <v>91073</v>
      </c>
      <c r="E103" s="19">
        <v>97335</v>
      </c>
      <c r="F103" s="19">
        <v>94945</v>
      </c>
      <c r="H103" s="54">
        <f>B103/$B$103</f>
        <v>1</v>
      </c>
      <c r="I103" s="53">
        <f t="shared" ref="I103:K103" si="24">C103/$B$103</f>
        <v>1.6901798955445226</v>
      </c>
      <c r="J103" s="53">
        <f t="shared" si="24"/>
        <v>1.9574225718400069</v>
      </c>
      <c r="K103" s="53">
        <f t="shared" si="24"/>
        <v>2.0920110903346445</v>
      </c>
      <c r="L103" s="53">
        <f>F103/$B$103</f>
        <v>2.0406430674662026</v>
      </c>
    </row>
    <row r="126" spans="1:12" x14ac:dyDescent="0.25">
      <c r="B126" s="52" t="s">
        <v>81</v>
      </c>
      <c r="C126" s="52" t="s">
        <v>74</v>
      </c>
      <c r="D126" s="52" t="s">
        <v>75</v>
      </c>
      <c r="E126" s="52" t="s">
        <v>76</v>
      </c>
      <c r="F126" s="52" t="s">
        <v>77</v>
      </c>
      <c r="H126" s="52" t="s">
        <v>81</v>
      </c>
      <c r="I126" s="52" t="s">
        <v>74</v>
      </c>
      <c r="J126" s="52" t="s">
        <v>75</v>
      </c>
      <c r="K126" s="52" t="s">
        <v>76</v>
      </c>
      <c r="L126" s="52" t="s">
        <v>77</v>
      </c>
    </row>
    <row r="127" spans="1:12" x14ac:dyDescent="0.25">
      <c r="A127" s="16" t="s">
        <v>57</v>
      </c>
      <c r="B127" s="16">
        <v>46527</v>
      </c>
      <c r="C127" s="16">
        <v>78639</v>
      </c>
      <c r="D127" s="16">
        <v>91073</v>
      </c>
      <c r="E127" s="16">
        <v>97335</v>
      </c>
      <c r="F127" s="16">
        <v>94945</v>
      </c>
      <c r="H127" s="54">
        <f>B127/$B$127</f>
        <v>1</v>
      </c>
      <c r="I127" s="53">
        <f t="shared" ref="I127:L127" si="25">C127/$B$127</f>
        <v>1.6901798955445226</v>
      </c>
      <c r="J127" s="53">
        <f t="shared" si="25"/>
        <v>1.9574225718400069</v>
      </c>
      <c r="K127" s="53">
        <f t="shared" si="25"/>
        <v>2.0920110903346445</v>
      </c>
      <c r="L127" s="53">
        <f t="shared" si="25"/>
        <v>2.0406430674662026</v>
      </c>
    </row>
    <row r="128" spans="1:12" x14ac:dyDescent="0.25">
      <c r="A128" s="5" t="s">
        <v>61</v>
      </c>
      <c r="B128" s="5">
        <v>8180</v>
      </c>
      <c r="C128" s="5">
        <v>14683</v>
      </c>
      <c r="D128" s="5">
        <v>24114</v>
      </c>
      <c r="E128" s="5">
        <v>22927</v>
      </c>
      <c r="F128" s="5">
        <v>13742</v>
      </c>
      <c r="H128" s="54">
        <f>B128/$B$128</f>
        <v>1</v>
      </c>
      <c r="I128" s="53">
        <f t="shared" ref="I128:L128" si="26">C128/$B$128</f>
        <v>1.7949877750611247</v>
      </c>
      <c r="J128" s="53">
        <f t="shared" si="26"/>
        <v>2.947921760391198</v>
      </c>
      <c r="K128" s="53">
        <f t="shared" si="26"/>
        <v>2.8028117359413205</v>
      </c>
      <c r="L128" s="53">
        <f t="shared" si="26"/>
        <v>1.6799511002444987</v>
      </c>
    </row>
    <row r="129" spans="1:12" x14ac:dyDescent="0.25">
      <c r="A129" s="5" t="s">
        <v>66</v>
      </c>
      <c r="B129" s="5">
        <v>8839</v>
      </c>
      <c r="C129" s="5">
        <v>11575</v>
      </c>
      <c r="D129" s="5">
        <v>9493</v>
      </c>
      <c r="E129" s="5">
        <v>8217</v>
      </c>
      <c r="F129" s="5">
        <v>3120</v>
      </c>
      <c r="H129" s="54">
        <f>B129/$B$129</f>
        <v>1</v>
      </c>
      <c r="I129" s="53">
        <f t="shared" ref="I129:L129" si="27">C129/$B$129</f>
        <v>1.3095372779726213</v>
      </c>
      <c r="J129" s="53">
        <f t="shared" si="27"/>
        <v>1.0739902703925783</v>
      </c>
      <c r="K129" s="53">
        <f t="shared" si="27"/>
        <v>0.92963004864803711</v>
      </c>
      <c r="L129" s="53">
        <f t="shared" si="27"/>
        <v>0.3529811064600068</v>
      </c>
    </row>
    <row r="130" spans="1:12" x14ac:dyDescent="0.25">
      <c r="A130" s="10" t="s">
        <v>84</v>
      </c>
      <c r="B130" s="5">
        <v>6954</v>
      </c>
      <c r="C130" s="5">
        <v>8365</v>
      </c>
      <c r="D130" s="5">
        <v>7134</v>
      </c>
      <c r="E130" s="5">
        <v>6541</v>
      </c>
      <c r="F130" s="5">
        <v>2380</v>
      </c>
      <c r="H130" s="54">
        <f>B130/$B$130</f>
        <v>1</v>
      </c>
      <c r="I130" s="53">
        <f t="shared" ref="I130:L130" si="28">C130/$B$130</f>
        <v>1.2029048029910843</v>
      </c>
      <c r="J130" s="53">
        <f t="shared" si="28"/>
        <v>1.0258843830888698</v>
      </c>
      <c r="K130" s="53">
        <f t="shared" si="28"/>
        <v>0.94060972102387119</v>
      </c>
      <c r="L130" s="53">
        <f t="shared" si="28"/>
        <v>0.34224906528616622</v>
      </c>
    </row>
    <row r="153" spans="1:12" x14ac:dyDescent="0.25">
      <c r="B153" s="52" t="s">
        <v>81</v>
      </c>
      <c r="C153" s="52" t="s">
        <v>74</v>
      </c>
      <c r="D153" s="52" t="s">
        <v>75</v>
      </c>
      <c r="E153" s="52" t="s">
        <v>76</v>
      </c>
      <c r="F153" s="52" t="s">
        <v>77</v>
      </c>
      <c r="H153" s="52" t="s">
        <v>81</v>
      </c>
      <c r="I153" s="52" t="s">
        <v>74</v>
      </c>
      <c r="J153" s="52" t="s">
        <v>75</v>
      </c>
      <c r="K153" s="52" t="s">
        <v>76</v>
      </c>
      <c r="L153" s="52" t="s">
        <v>77</v>
      </c>
    </row>
    <row r="154" spans="1:12" ht="30" x14ac:dyDescent="0.25">
      <c r="A154" s="55" t="s">
        <v>58</v>
      </c>
      <c r="B154" s="6">
        <v>-40754</v>
      </c>
      <c r="C154" s="6">
        <v>-69234</v>
      </c>
      <c r="D154" s="6">
        <v>-72546</v>
      </c>
      <c r="E154" s="6">
        <v>-78818</v>
      </c>
      <c r="F154" s="6">
        <v>-87192</v>
      </c>
      <c r="H154" s="54">
        <f>B154/$B$154</f>
        <v>1</v>
      </c>
      <c r="I154" s="53">
        <f t="shared" ref="I154:L154" si="29">C154/$B$154</f>
        <v>1.6988271089954361</v>
      </c>
      <c r="J154" s="53">
        <f t="shared" si="29"/>
        <v>1.7800952053786132</v>
      </c>
      <c r="K154" s="53">
        <f t="shared" si="29"/>
        <v>1.9339942091573834</v>
      </c>
      <c r="L154" s="53">
        <f t="shared" si="29"/>
        <v>2.1394709721745104</v>
      </c>
    </row>
    <row r="155" spans="1:12" x14ac:dyDescent="0.25">
      <c r="A155" s="55" t="s">
        <v>59</v>
      </c>
      <c r="B155" s="6">
        <v>2623</v>
      </c>
      <c r="C155" s="6">
        <v>6079</v>
      </c>
      <c r="D155" s="6">
        <v>6408</v>
      </c>
      <c r="E155" s="6">
        <v>4987</v>
      </c>
      <c r="F155" s="6">
        <v>6403</v>
      </c>
      <c r="H155" s="54">
        <f>B155/$B$155</f>
        <v>1</v>
      </c>
      <c r="I155" s="53">
        <f t="shared" ref="I155:L155" si="30">C155/$B$155</f>
        <v>2.3175752954632101</v>
      </c>
      <c r="J155" s="53">
        <f t="shared" si="30"/>
        <v>2.4430041936713685</v>
      </c>
      <c r="K155" s="53">
        <f t="shared" si="30"/>
        <v>1.9012581014105985</v>
      </c>
      <c r="L155" s="53">
        <f t="shared" si="30"/>
        <v>2.441097979412886</v>
      </c>
    </row>
    <row r="156" spans="1:12" x14ac:dyDescent="0.25">
      <c r="A156" s="55" t="s">
        <v>60</v>
      </c>
      <c r="B156" s="6">
        <v>-216</v>
      </c>
      <c r="C156" s="6">
        <v>-801</v>
      </c>
      <c r="D156" s="6">
        <v>-821</v>
      </c>
      <c r="E156" s="6">
        <v>-577</v>
      </c>
      <c r="F156" s="6">
        <v>-414</v>
      </c>
      <c r="H156" s="54">
        <f>B156/$B$156</f>
        <v>1</v>
      </c>
      <c r="I156" s="53">
        <f t="shared" ref="I156:L156" si="31">C156/$B$156</f>
        <v>3.7083333333333335</v>
      </c>
      <c r="J156" s="53">
        <f t="shared" si="31"/>
        <v>3.800925925925926</v>
      </c>
      <c r="K156" s="53">
        <f t="shared" si="31"/>
        <v>2.6712962962962963</v>
      </c>
      <c r="L156" s="53">
        <f t="shared" si="31"/>
        <v>1.9166666666666667</v>
      </c>
    </row>
    <row r="157" spans="1:12" x14ac:dyDescent="0.25">
      <c r="A157" s="19" t="s">
        <v>85</v>
      </c>
      <c r="B157" s="19">
        <v>8180</v>
      </c>
      <c r="C157" s="19">
        <v>14683</v>
      </c>
      <c r="D157" s="19">
        <v>24114</v>
      </c>
      <c r="E157" s="19">
        <v>22927</v>
      </c>
      <c r="F157" s="19">
        <v>13742</v>
      </c>
      <c r="H157" s="54">
        <f>B157/$B$157</f>
        <v>1</v>
      </c>
      <c r="I157" s="53">
        <f t="shared" ref="I157:L157" si="32">C157/$B$157</f>
        <v>1.7949877750611247</v>
      </c>
      <c r="J157" s="53">
        <f t="shared" si="32"/>
        <v>2.947921760391198</v>
      </c>
      <c r="K157" s="53">
        <f t="shared" si="32"/>
        <v>2.8028117359413205</v>
      </c>
      <c r="L157" s="53">
        <f t="shared" si="32"/>
        <v>1.6799511002444987</v>
      </c>
    </row>
  </sheetData>
  <mergeCells count="5">
    <mergeCell ref="G3:H3"/>
    <mergeCell ref="I3:J3"/>
    <mergeCell ref="K3:L3"/>
    <mergeCell ref="M3:N3"/>
    <mergeCell ref="G2:N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topLeftCell="A21" zoomScale="80" zoomScaleNormal="80" workbookViewId="0">
      <selection activeCell="B66" sqref="B66:E68"/>
    </sheetView>
  </sheetViews>
  <sheetFormatPr defaultColWidth="8.85546875" defaultRowHeight="15" x14ac:dyDescent="0.25"/>
  <cols>
    <col min="1" max="1" width="50.85546875" customWidth="1"/>
    <col min="2" max="3" width="11.42578125" style="58" customWidth="1"/>
    <col min="4" max="5" width="12.140625" style="58" customWidth="1"/>
    <col min="6" max="7" width="12.42578125" style="58" customWidth="1"/>
    <col min="8" max="9" width="13.42578125" style="58" customWidth="1"/>
    <col min="10" max="10" width="14.140625" style="58" customWidth="1"/>
    <col min="11" max="11" width="13.42578125" style="58" customWidth="1"/>
  </cols>
  <sheetData>
    <row r="1" spans="1:11" ht="17.25" x14ac:dyDescent="0.3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72"/>
    </row>
    <row r="2" spans="1:11" x14ac:dyDescent="0.25">
      <c r="A2" s="63"/>
      <c r="B2" s="29">
        <v>2017</v>
      </c>
      <c r="C2" s="29" t="s">
        <v>86</v>
      </c>
      <c r="D2" s="29">
        <v>2018</v>
      </c>
      <c r="E2" s="29" t="s">
        <v>86</v>
      </c>
      <c r="F2" s="29">
        <v>2019</v>
      </c>
      <c r="G2" s="29" t="s">
        <v>86</v>
      </c>
      <c r="H2" s="29">
        <v>2020</v>
      </c>
      <c r="I2" s="29" t="s">
        <v>86</v>
      </c>
      <c r="J2" s="29">
        <v>2021</v>
      </c>
      <c r="K2" s="29" t="s">
        <v>86</v>
      </c>
    </row>
    <row r="3" spans="1:11" x14ac:dyDescent="0.25">
      <c r="A3" s="64" t="s">
        <v>6</v>
      </c>
    </row>
    <row r="4" spans="1:11" x14ac:dyDescent="0.25">
      <c r="A4" s="1" t="s">
        <v>7</v>
      </c>
      <c r="B4" s="59"/>
      <c r="C4" s="78"/>
      <c r="D4" s="59"/>
      <c r="E4" s="59"/>
      <c r="F4" s="59"/>
      <c r="G4" s="59"/>
      <c r="H4" s="59"/>
      <c r="I4" s="59"/>
      <c r="J4" s="59"/>
      <c r="K4" s="59"/>
    </row>
    <row r="5" spans="1:11" x14ac:dyDescent="0.25">
      <c r="A5" t="s">
        <v>8</v>
      </c>
      <c r="B5" s="58">
        <v>7936</v>
      </c>
      <c r="C5" s="77">
        <f>B5/$B$14</f>
        <v>0.33537590330896339</v>
      </c>
      <c r="D5" s="58">
        <v>20734</v>
      </c>
      <c r="E5" s="77">
        <f>D5/$B$14</f>
        <v>0.87622025947682036</v>
      </c>
      <c r="F5" s="58">
        <v>19777</v>
      </c>
      <c r="G5" s="77">
        <f>F5/$F$14</f>
        <v>0.12461014044395158</v>
      </c>
      <c r="H5" s="58">
        <v>17025</v>
      </c>
      <c r="I5" s="77">
        <f>H5/$H$14</f>
        <v>0.1016181307038958</v>
      </c>
      <c r="J5" s="58">
        <v>17675</v>
      </c>
      <c r="K5" s="77">
        <f>J5/$J$14</f>
        <v>9.6918884240194333E-2</v>
      </c>
    </row>
    <row r="6" spans="1:11" x14ac:dyDescent="0.25">
      <c r="A6" t="s">
        <v>9</v>
      </c>
      <c r="B6" s="58" t="s">
        <v>10</v>
      </c>
      <c r="C6" s="77"/>
      <c r="D6" s="58">
        <v>575</v>
      </c>
      <c r="E6" s="77"/>
      <c r="F6" s="58">
        <v>349</v>
      </c>
      <c r="G6" s="77">
        <f t="shared" ref="G6:G13" si="0">F6/$F$14</f>
        <v>2.1989654151256055E-3</v>
      </c>
      <c r="H6" s="58">
        <v>211</v>
      </c>
      <c r="I6" s="77">
        <f t="shared" ref="I6:I13" si="1">H6/$H$14</f>
        <v>1.2594082571819099E-3</v>
      </c>
      <c r="J6" s="58">
        <v>194</v>
      </c>
      <c r="K6" s="77">
        <f t="shared" ref="K6:K13" si="2">J6/$J$14</f>
        <v>1.0637772867099122E-3</v>
      </c>
    </row>
    <row r="7" spans="1:11" x14ac:dyDescent="0.25">
      <c r="A7" t="s">
        <v>11</v>
      </c>
      <c r="B7" s="58">
        <v>7999</v>
      </c>
      <c r="C7" s="77">
        <f t="shared" ref="C7:C13" si="3">B7/$B$14</f>
        <v>0.33803828762202592</v>
      </c>
      <c r="D7" s="58">
        <v>68767</v>
      </c>
      <c r="E7" s="77">
        <f>D7/$D$14</f>
        <v>0.69827682497131427</v>
      </c>
      <c r="F7" s="58">
        <v>20063</v>
      </c>
      <c r="G7" s="77">
        <f>F7/$F$14</f>
        <v>0.12641215794746427</v>
      </c>
      <c r="H7" s="58">
        <v>21870</v>
      </c>
      <c r="I7" s="77">
        <f t="shared" si="1"/>
        <v>0.13053677054297805</v>
      </c>
      <c r="J7" s="58">
        <v>27830</v>
      </c>
      <c r="K7" s="77">
        <f t="shared" si="2"/>
        <v>0.15260269015019001</v>
      </c>
    </row>
    <row r="8" spans="1:11" x14ac:dyDescent="0.25">
      <c r="A8" t="s">
        <v>12</v>
      </c>
      <c r="B8" s="58" t="s">
        <v>10</v>
      </c>
      <c r="C8" s="77"/>
      <c r="D8" s="58" t="s">
        <v>10</v>
      </c>
      <c r="E8" s="77"/>
      <c r="F8" s="58">
        <v>48975</v>
      </c>
      <c r="G8" s="77">
        <f t="shared" si="0"/>
        <v>0.30857974557529094</v>
      </c>
      <c r="H8" s="58">
        <v>48975</v>
      </c>
      <c r="I8" s="77">
        <f t="shared" si="1"/>
        <v>0.29231999713499546</v>
      </c>
      <c r="J8" s="58">
        <v>50007</v>
      </c>
      <c r="K8" s="77">
        <f t="shared" si="2"/>
        <v>0.27420778750774527</v>
      </c>
    </row>
    <row r="9" spans="1:11" x14ac:dyDescent="0.25">
      <c r="A9" t="s">
        <v>13</v>
      </c>
      <c r="B9" s="58" t="s">
        <v>10</v>
      </c>
      <c r="C9" s="77"/>
      <c r="D9" s="58" t="s">
        <v>10</v>
      </c>
      <c r="E9" s="77"/>
      <c r="F9" s="58">
        <v>62832</v>
      </c>
      <c r="G9" s="77">
        <f>F9/$F$14</f>
        <v>0.39588938384863054</v>
      </c>
      <c r="H9" s="58">
        <v>71593</v>
      </c>
      <c r="I9" s="77">
        <f t="shared" si="1"/>
        <v>0.42732139979348094</v>
      </c>
      <c r="J9" s="58">
        <v>74075</v>
      </c>
      <c r="K9" s="77">
        <f t="shared" si="2"/>
        <v>0.4061819717166843</v>
      </c>
    </row>
    <row r="10" spans="1:11" ht="30" x14ac:dyDescent="0.25">
      <c r="A10" s="65" t="s">
        <v>14</v>
      </c>
      <c r="B10" s="58" t="s">
        <v>10</v>
      </c>
      <c r="C10" s="77"/>
      <c r="D10" s="58" t="s">
        <v>10</v>
      </c>
      <c r="E10" s="77"/>
      <c r="F10" s="58">
        <v>1982</v>
      </c>
      <c r="G10" s="77">
        <f t="shared" si="0"/>
        <v>1.2488107314552866E-2</v>
      </c>
      <c r="H10" s="58">
        <v>1244</v>
      </c>
      <c r="I10" s="77">
        <f>H10/$H$14</f>
        <v>7.4251368338118292E-3</v>
      </c>
      <c r="J10" s="58">
        <v>15</v>
      </c>
      <c r="K10" s="77">
        <f>J10/$J$14</f>
        <v>8.2250821137364356E-5</v>
      </c>
    </row>
    <row r="11" spans="1:11" x14ac:dyDescent="0.25">
      <c r="A11" t="s">
        <v>15</v>
      </c>
      <c r="B11" s="58">
        <v>2471</v>
      </c>
      <c r="C11" s="77">
        <f t="shared" si="3"/>
        <v>0.10442462916789925</v>
      </c>
      <c r="D11" s="58" t="s">
        <v>10</v>
      </c>
      <c r="E11" s="77"/>
      <c r="F11" s="58" t="s">
        <v>10</v>
      </c>
      <c r="G11" s="77"/>
      <c r="H11" s="58" t="s">
        <v>10</v>
      </c>
      <c r="I11" s="77"/>
      <c r="J11" s="58">
        <v>5575</v>
      </c>
      <c r="K11" s="77">
        <f t="shared" si="2"/>
        <v>3.0569888522720419E-2</v>
      </c>
    </row>
    <row r="12" spans="1:11" x14ac:dyDescent="0.25">
      <c r="A12" t="s">
        <v>16</v>
      </c>
      <c r="B12" s="58">
        <v>4264</v>
      </c>
      <c r="C12" s="77">
        <f t="shared" si="3"/>
        <v>0.18019693191902972</v>
      </c>
      <c r="D12" s="58">
        <v>5759</v>
      </c>
      <c r="E12" s="77">
        <f t="shared" ref="E12:E13" si="4">D12/$D$14</f>
        <v>5.8478285151450531E-2</v>
      </c>
      <c r="F12" s="58">
        <v>3302</v>
      </c>
      <c r="G12" s="77">
        <f t="shared" si="0"/>
        <v>2.0805111176919053E-2</v>
      </c>
      <c r="H12" s="58">
        <v>5714</v>
      </c>
      <c r="I12" s="77">
        <f>H12/$H$14</f>
        <v>3.4105491855627647E-2</v>
      </c>
      <c r="J12" s="58">
        <v>5366</v>
      </c>
      <c r="K12" s="77">
        <f t="shared" si="2"/>
        <v>2.9423860414873142E-2</v>
      </c>
    </row>
    <row r="13" spans="1:11" x14ac:dyDescent="0.25">
      <c r="A13" t="s">
        <v>17</v>
      </c>
      <c r="B13" s="58">
        <v>993</v>
      </c>
      <c r="C13" s="77">
        <f t="shared" si="3"/>
        <v>4.1964247982081732E-2</v>
      </c>
      <c r="D13" s="58">
        <v>2646</v>
      </c>
      <c r="E13" s="77">
        <f t="shared" si="4"/>
        <v>2.6868126846802936E-2</v>
      </c>
      <c r="F13" s="58">
        <v>1431</v>
      </c>
      <c r="G13" s="77">
        <f t="shared" si="0"/>
        <v>9.0163882780651631E-3</v>
      </c>
      <c r="H13" s="58">
        <v>907</v>
      </c>
      <c r="I13" s="77">
        <f t="shared" si="1"/>
        <v>5.4136648780283994E-3</v>
      </c>
      <c r="J13" s="58">
        <v>1632</v>
      </c>
      <c r="K13" s="77">
        <f t="shared" si="2"/>
        <v>8.9488893397452422E-3</v>
      </c>
    </row>
    <row r="14" spans="1:11" x14ac:dyDescent="0.25">
      <c r="A14" s="66" t="s">
        <v>18</v>
      </c>
      <c r="B14" s="79">
        <f>SUM(B5:B13)</f>
        <v>23663</v>
      </c>
      <c r="C14" s="73">
        <f>B14/$B$14*100</f>
        <v>100</v>
      </c>
      <c r="D14" s="79">
        <f>SUM(D5:D13)</f>
        <v>98481</v>
      </c>
      <c r="E14" s="73">
        <f>D14/$D$14*100</f>
        <v>100</v>
      </c>
      <c r="F14" s="79">
        <f>SUM(F5:F13)</f>
        <v>158711</v>
      </c>
      <c r="G14" s="73">
        <f>F14/$F$14*100</f>
        <v>100</v>
      </c>
      <c r="H14" s="79">
        <f>SUM(H5:H13)</f>
        <v>167539</v>
      </c>
      <c r="I14" s="73">
        <f>H14/$H$14*100</f>
        <v>100</v>
      </c>
      <c r="J14" s="79">
        <f>SUM(J5:J13)</f>
        <v>182369</v>
      </c>
      <c r="K14" s="73">
        <f>J14/$J$14*100</f>
        <v>100</v>
      </c>
    </row>
    <row r="15" spans="1:11" x14ac:dyDescent="0.25">
      <c r="A15" s="67"/>
      <c r="B15" s="74">
        <f>B14/$B$58</f>
        <v>9.7358568195844472E-2</v>
      </c>
      <c r="C15" s="59"/>
      <c r="D15" s="74">
        <f>D14/$D$58</f>
        <v>0.15904502892432518</v>
      </c>
      <c r="E15" s="59"/>
      <c r="F15" s="74">
        <f>F14/$F$58</f>
        <v>0.19924100339200931</v>
      </c>
      <c r="G15" s="59"/>
      <c r="H15" s="74">
        <f>H14/$H$58</f>
        <v>0.18688704164770345</v>
      </c>
      <c r="I15" s="59"/>
      <c r="J15" s="74">
        <f>J14/$J$58</f>
        <v>0.18514487714300507</v>
      </c>
      <c r="K15" s="59"/>
    </row>
    <row r="16" spans="1:11" x14ac:dyDescent="0.25">
      <c r="A16" s="12" t="s">
        <v>19</v>
      </c>
      <c r="B16" s="59"/>
      <c r="C16" s="59"/>
      <c r="D16" s="59"/>
      <c r="E16" s="59"/>
      <c r="F16" s="59"/>
      <c r="G16" s="59"/>
      <c r="H16" s="59"/>
      <c r="I16" s="59"/>
      <c r="J16" s="59"/>
      <c r="K16" s="59"/>
    </row>
    <row r="17" spans="1:11" x14ac:dyDescent="0.25">
      <c r="A17" t="s">
        <v>20</v>
      </c>
      <c r="B17" s="61">
        <v>52283</v>
      </c>
      <c r="C17" s="77">
        <f>B17/$B$25</f>
        <v>0.53425231448366062</v>
      </c>
      <c r="D17" s="61">
        <v>113145</v>
      </c>
      <c r="E17" s="77">
        <f>D17/$D$25</f>
        <v>0.60520558643081412</v>
      </c>
      <c r="F17" s="61">
        <v>129115</v>
      </c>
      <c r="G17" s="77">
        <f>F17/$F$25</f>
        <v>0.67628864899406549</v>
      </c>
      <c r="H17" s="61">
        <v>146994</v>
      </c>
      <c r="I17" s="77">
        <f>H17/$F$25</f>
        <v>0.769936674052075</v>
      </c>
      <c r="J17" s="58">
        <v>163840</v>
      </c>
      <c r="K17" s="77">
        <f t="shared" ref="K17:K24" si="5">J17/$F$25</f>
        <v>0.85817397088787273</v>
      </c>
    </row>
    <row r="18" spans="1:11" x14ac:dyDescent="0.25">
      <c r="A18" t="s">
        <v>21</v>
      </c>
      <c r="B18" s="58">
        <v>20834</v>
      </c>
      <c r="C18" s="77">
        <f>B18/$B$25</f>
        <v>0.21289162289754962</v>
      </c>
      <c r="D18" s="58">
        <v>29631</v>
      </c>
      <c r="E18" s="77">
        <f t="shared" ref="E18:E24" si="6">D18/$D$25</f>
        <v>0.15849438094066423</v>
      </c>
      <c r="F18" s="58">
        <v>34136</v>
      </c>
      <c r="G18" s="77">
        <f t="shared" ref="G18:G24" si="7">F18/$F$25</f>
        <v>0.1788002116102809</v>
      </c>
      <c r="H18" s="58">
        <v>46224</v>
      </c>
      <c r="I18" s="77">
        <f t="shared" ref="I18:I24" si="8">H18/$F$25</f>
        <v>0.24211568377881487</v>
      </c>
      <c r="J18" s="58">
        <v>46865</v>
      </c>
      <c r="K18" s="77">
        <f t="shared" si="5"/>
        <v>0.24547316373083591</v>
      </c>
    </row>
    <row r="19" spans="1:11" x14ac:dyDescent="0.25">
      <c r="A19" t="s">
        <v>22</v>
      </c>
      <c r="B19" s="58">
        <v>777</v>
      </c>
      <c r="C19" s="77">
        <f t="shared" ref="C19:C23" si="9">B19/$B$25</f>
        <v>7.9397518955263528E-3</v>
      </c>
      <c r="D19" s="58">
        <v>1826</v>
      </c>
      <c r="E19" s="77">
        <f t="shared" si="6"/>
        <v>9.7671607302370119E-3</v>
      </c>
      <c r="F19" s="58">
        <v>1181</v>
      </c>
      <c r="G19" s="77">
        <f t="shared" si="7"/>
        <v>6.1859342017735455E-3</v>
      </c>
      <c r="H19" s="58">
        <v>1761</v>
      </c>
      <c r="I19" s="77">
        <f t="shared" si="8"/>
        <v>9.2239035811373521E-3</v>
      </c>
      <c r="J19" s="58">
        <v>1622</v>
      </c>
      <c r="K19" s="77">
        <f t="shared" si="5"/>
        <v>8.4958385057380958E-3</v>
      </c>
    </row>
    <row r="20" spans="1:11" x14ac:dyDescent="0.25">
      <c r="A20" t="s">
        <v>23</v>
      </c>
      <c r="B20" s="58">
        <v>16</v>
      </c>
      <c r="C20" s="77">
        <f t="shared" si="9"/>
        <v>1.6349553452821319E-4</v>
      </c>
      <c r="D20" s="58">
        <v>33</v>
      </c>
      <c r="E20" s="77">
        <f t="shared" si="6"/>
        <v>1.7651495295609057E-4</v>
      </c>
      <c r="F20" s="58">
        <v>84</v>
      </c>
      <c r="G20" s="77">
        <f t="shared" si="7"/>
        <v>4.399817721837238E-4</v>
      </c>
      <c r="H20" s="58">
        <v>100</v>
      </c>
      <c r="I20" s="77">
        <f t="shared" si="8"/>
        <v>5.2378782402824262E-4</v>
      </c>
      <c r="J20" s="58">
        <v>2637</v>
      </c>
      <c r="K20" s="77">
        <f t="shared" si="5"/>
        <v>1.3812284919624758E-2</v>
      </c>
    </row>
    <row r="21" spans="1:11" x14ac:dyDescent="0.25">
      <c r="A21" t="s">
        <v>24</v>
      </c>
      <c r="B21" s="58">
        <v>6154</v>
      </c>
      <c r="C21" s="77">
        <f t="shared" si="9"/>
        <v>6.2884469967913997E-2</v>
      </c>
      <c r="D21" s="58">
        <v>16112</v>
      </c>
      <c r="E21" s="77">
        <f t="shared" si="6"/>
        <v>8.6182088546319133E-2</v>
      </c>
      <c r="F21" s="58">
        <v>21316</v>
      </c>
      <c r="G21" s="77">
        <f t="shared" si="7"/>
        <v>0.1116506125698602</v>
      </c>
      <c r="H21" s="58">
        <v>25352</v>
      </c>
      <c r="I21" s="77">
        <f t="shared" si="8"/>
        <v>0.13279068914764008</v>
      </c>
      <c r="J21" s="58">
        <v>33910</v>
      </c>
      <c r="K21" s="77">
        <f t="shared" si="5"/>
        <v>0.17761645112797708</v>
      </c>
    </row>
    <row r="22" spans="1:11" x14ac:dyDescent="0.25">
      <c r="A22" t="s">
        <v>25</v>
      </c>
      <c r="B22" s="58">
        <v>7</v>
      </c>
      <c r="C22" s="77">
        <f t="shared" si="9"/>
        <v>7.152929635609327E-5</v>
      </c>
      <c r="D22" s="58">
        <v>43</v>
      </c>
      <c r="E22" s="77">
        <f t="shared" si="6"/>
        <v>2.3000433263975438E-4</v>
      </c>
      <c r="F22" s="58">
        <v>44</v>
      </c>
      <c r="G22" s="77">
        <f t="shared" si="7"/>
        <v>2.3046664257242677E-4</v>
      </c>
      <c r="H22" s="58">
        <v>60</v>
      </c>
      <c r="I22" s="77">
        <f t="shared" si="8"/>
        <v>3.1427269441694559E-4</v>
      </c>
      <c r="J22" s="58">
        <v>68</v>
      </c>
      <c r="K22" s="77">
        <f t="shared" si="5"/>
        <v>3.5617572033920498E-4</v>
      </c>
    </row>
    <row r="23" spans="1:11" x14ac:dyDescent="0.25">
      <c r="A23" t="s">
        <v>26</v>
      </c>
      <c r="B23" s="58">
        <v>17791</v>
      </c>
      <c r="C23" s="77">
        <f t="shared" si="9"/>
        <v>0.18179681592446506</v>
      </c>
      <c r="D23" s="58">
        <v>25669</v>
      </c>
      <c r="E23" s="77">
        <f t="shared" si="6"/>
        <v>0.13730188870999663</v>
      </c>
      <c r="F23" s="58">
        <v>4738</v>
      </c>
      <c r="G23" s="77">
        <f t="shared" si="7"/>
        <v>2.4817067102458137E-2</v>
      </c>
      <c r="H23" s="58">
        <v>7445</v>
      </c>
      <c r="I23" s="77">
        <f t="shared" si="8"/>
        <v>3.8996003498902664E-2</v>
      </c>
      <c r="J23" s="58">
        <v>12053</v>
      </c>
      <c r="K23" s="77">
        <f t="shared" si="5"/>
        <v>6.3132146430124089E-2</v>
      </c>
    </row>
    <row r="24" spans="1:11" x14ac:dyDescent="0.25">
      <c r="A24" t="s">
        <v>27</v>
      </c>
      <c r="B24" s="58" t="s">
        <v>10</v>
      </c>
      <c r="C24" s="77"/>
      <c r="D24" s="58">
        <v>494</v>
      </c>
      <c r="E24" s="81">
        <f t="shared" si="6"/>
        <v>2.6423753563729921E-3</v>
      </c>
      <c r="F24" s="58">
        <v>303</v>
      </c>
      <c r="G24" s="81">
        <f t="shared" si="7"/>
        <v>1.5870771068055751E-3</v>
      </c>
      <c r="H24" s="58">
        <v>1229</v>
      </c>
      <c r="I24" s="77">
        <f t="shared" si="8"/>
        <v>6.4373523573071018E-3</v>
      </c>
      <c r="J24" s="58">
        <v>8</v>
      </c>
      <c r="K24" s="81">
        <f t="shared" si="5"/>
        <v>4.1903025922259411E-5</v>
      </c>
    </row>
    <row r="25" spans="1:11" x14ac:dyDescent="0.25">
      <c r="A25" s="66" t="s">
        <v>28</v>
      </c>
      <c r="B25" s="79">
        <f>SUM(B16:B24)</f>
        <v>97862</v>
      </c>
      <c r="C25" s="73">
        <f>B25/$B$25*100</f>
        <v>100</v>
      </c>
      <c r="D25" s="79">
        <f>SUM(D16:D24)</f>
        <v>186953</v>
      </c>
      <c r="E25" s="73">
        <f t="shared" ref="E25" si="10">D25/$D$25*100</f>
        <v>100</v>
      </c>
      <c r="F25" s="79">
        <f>SUM(F16:F24)</f>
        <v>190917</v>
      </c>
      <c r="G25" s="73">
        <f t="shared" ref="G25" si="11">F25/$F$25*100</f>
        <v>100</v>
      </c>
      <c r="H25" s="79">
        <f>SUM(H16:H24)</f>
        <v>229165</v>
      </c>
      <c r="I25" s="73">
        <f t="shared" ref="I25" si="12">H25/$H$25*100</f>
        <v>100</v>
      </c>
      <c r="J25" s="79">
        <f>SUM(J16:J24)</f>
        <v>261003</v>
      </c>
      <c r="K25" s="73">
        <f t="shared" ref="K25" si="13">J25/$J$25*100</f>
        <v>100</v>
      </c>
    </row>
    <row r="26" spans="1:11" x14ac:dyDescent="0.25">
      <c r="A26" s="67"/>
      <c r="B26" s="74">
        <f>B25/$B$58</f>
        <v>0.40264143180415551</v>
      </c>
      <c r="C26" s="59"/>
      <c r="D26" s="74">
        <f>D25/$D$58</f>
        <v>0.30192570437433985</v>
      </c>
      <c r="E26" s="59"/>
      <c r="F26" s="74">
        <f>F25/$F$58</f>
        <v>0.23967144460429488</v>
      </c>
      <c r="G26" s="59"/>
      <c r="H26" s="74">
        <f>H25/$H$58</f>
        <v>0.25562984677714418</v>
      </c>
      <c r="I26" s="59"/>
      <c r="J26" s="74">
        <f>J25/$J$58</f>
        <v>0.26497578189799664</v>
      </c>
      <c r="K26" s="59"/>
    </row>
    <row r="27" spans="1:11" x14ac:dyDescent="0.25">
      <c r="A27" s="64" t="s">
        <v>29</v>
      </c>
      <c r="B27" s="80">
        <f t="shared" ref="B27:J27" si="14">B14+B25</f>
        <v>121525</v>
      </c>
      <c r="C27" s="59"/>
      <c r="D27" s="80">
        <f t="shared" si="14"/>
        <v>285434</v>
      </c>
      <c r="E27" s="59"/>
      <c r="F27" s="80">
        <f t="shared" si="14"/>
        <v>349628</v>
      </c>
      <c r="G27" s="59"/>
      <c r="H27" s="80">
        <f t="shared" si="14"/>
        <v>396704</v>
      </c>
      <c r="I27" s="59"/>
      <c r="J27" s="80">
        <f t="shared" si="14"/>
        <v>443372</v>
      </c>
      <c r="K27" s="59"/>
    </row>
    <row r="28" spans="1:11" x14ac:dyDescent="0.25">
      <c r="A28" s="67"/>
      <c r="B28" s="75"/>
      <c r="C28" s="59"/>
      <c r="D28" s="59"/>
      <c r="E28" s="59"/>
      <c r="F28" s="59"/>
      <c r="G28" s="59"/>
      <c r="H28" s="59"/>
      <c r="I28" s="59"/>
      <c r="J28" s="59"/>
      <c r="K28" s="59"/>
    </row>
    <row r="29" spans="1:11" x14ac:dyDescent="0.25">
      <c r="A29" s="64" t="s">
        <v>30</v>
      </c>
      <c r="B29" s="59"/>
      <c r="C29" s="59"/>
      <c r="D29" s="59"/>
      <c r="E29" s="59"/>
      <c r="F29" s="59"/>
      <c r="G29" s="59"/>
      <c r="H29" s="59"/>
      <c r="I29" s="59"/>
      <c r="J29" s="59"/>
      <c r="K29" s="59"/>
    </row>
    <row r="30" spans="1:11" x14ac:dyDescent="0.25">
      <c r="A30" t="s">
        <v>31</v>
      </c>
      <c r="B30" s="58">
        <v>1798</v>
      </c>
      <c r="C30" s="77">
        <f>B30/$B$35</f>
        <v>7.7653969076617438E-2</v>
      </c>
      <c r="D30" s="58">
        <v>1798</v>
      </c>
      <c r="E30" s="77">
        <f>D30/$D$35</f>
        <v>5.7306772908366534E-2</v>
      </c>
      <c r="F30" s="58">
        <v>1798</v>
      </c>
      <c r="G30" s="77">
        <f>F30/$F$35</f>
        <v>5.5965387368879758E-2</v>
      </c>
      <c r="H30" s="58">
        <v>1798</v>
      </c>
      <c r="I30" s="77">
        <f>H30/$H$35</f>
        <v>5.3449864740331164E-2</v>
      </c>
      <c r="J30" s="58">
        <v>1798</v>
      </c>
      <c r="K30" s="77">
        <f>J30/$J$35</f>
        <v>7.7459934516629331E-2</v>
      </c>
    </row>
    <row r="31" spans="1:11" x14ac:dyDescent="0.25">
      <c r="A31" t="s">
        <v>32</v>
      </c>
      <c r="B31" s="58">
        <v>4576</v>
      </c>
      <c r="C31" s="77">
        <f t="shared" ref="C31:C34" si="15">B31/$B$25</f>
        <v>4.6759722875068972E-2</v>
      </c>
      <c r="D31" s="58">
        <v>4576</v>
      </c>
      <c r="E31" s="77">
        <f t="shared" ref="E31:E34" si="16">D31/$D$35</f>
        <v>0.14584860557768925</v>
      </c>
      <c r="F31" s="58">
        <v>4576</v>
      </c>
      <c r="G31" s="77">
        <f t="shared" ref="G31:G33" si="17">F31/$F$35</f>
        <v>0.14243471223581411</v>
      </c>
      <c r="H31" s="58">
        <v>4576</v>
      </c>
      <c r="I31" s="77">
        <f t="shared" ref="I31:I33" si="18">H31/$H$35</f>
        <v>0.1360325812301198</v>
      </c>
      <c r="J31" s="58">
        <v>4576</v>
      </c>
      <c r="K31" s="77">
        <f t="shared" ref="K31:K33" si="19">J31/$J$35</f>
        <v>0.19713941064966398</v>
      </c>
    </row>
    <row r="32" spans="1:11" x14ac:dyDescent="0.25">
      <c r="A32" t="s">
        <v>33</v>
      </c>
      <c r="B32" s="58">
        <v>-52</v>
      </c>
      <c r="C32" s="77">
        <f t="shared" si="15"/>
        <v>-5.3136048721669292E-4</v>
      </c>
      <c r="D32" s="58">
        <v>-749</v>
      </c>
      <c r="E32" s="77">
        <f>D32/$D$35</f>
        <v>-2.3872509960159362E-2</v>
      </c>
      <c r="F32" s="58">
        <v>-749</v>
      </c>
      <c r="G32" s="77">
        <f t="shared" si="17"/>
        <v>-2.3313723659227441E-2</v>
      </c>
      <c r="H32" s="58">
        <v>-749</v>
      </c>
      <c r="I32" s="77">
        <f t="shared" si="18"/>
        <v>-2.2265822408513929E-2</v>
      </c>
      <c r="J32" s="58">
        <v>-557</v>
      </c>
      <c r="K32" s="77">
        <f>J32/$J$35</f>
        <v>-2.3996208857487506E-2</v>
      </c>
    </row>
    <row r="33" spans="1:11" x14ac:dyDescent="0.25">
      <c r="A33" t="s">
        <v>34</v>
      </c>
      <c r="B33" s="58">
        <v>16602</v>
      </c>
      <c r="C33" s="77">
        <f t="shared" si="15"/>
        <v>0.16964705401483721</v>
      </c>
      <c r="D33" s="58">
        <v>25240</v>
      </c>
      <c r="E33" s="77">
        <f t="shared" si="16"/>
        <v>0.80446215139442234</v>
      </c>
      <c r="F33" s="58">
        <v>26502</v>
      </c>
      <c r="G33" s="77">
        <f t="shared" si="17"/>
        <v>0.82491362405453361</v>
      </c>
      <c r="H33" s="58">
        <v>28014</v>
      </c>
      <c r="I33" s="77">
        <f t="shared" si="18"/>
        <v>0.83278337643806299</v>
      </c>
      <c r="J33" s="58">
        <v>17395</v>
      </c>
      <c r="K33" s="77">
        <f t="shared" si="19"/>
        <v>0.74939686369119418</v>
      </c>
    </row>
    <row r="34" spans="1:11" x14ac:dyDescent="0.25">
      <c r="A34" t="s">
        <v>35</v>
      </c>
      <c r="B34" s="58">
        <v>230</v>
      </c>
      <c r="C34" s="77">
        <f t="shared" si="15"/>
        <v>2.3502483088430649E-3</v>
      </c>
      <c r="D34" s="58">
        <v>510</v>
      </c>
      <c r="E34" s="77">
        <f t="shared" si="16"/>
        <v>1.6254980079681274E-2</v>
      </c>
      <c r="F34" s="58" t="s">
        <v>10</v>
      </c>
      <c r="G34" s="77"/>
      <c r="H34" s="58" t="s">
        <v>10</v>
      </c>
      <c r="J34" s="58" t="s">
        <v>10</v>
      </c>
    </row>
    <row r="35" spans="1:11" x14ac:dyDescent="0.25">
      <c r="A35" s="66" t="s">
        <v>36</v>
      </c>
      <c r="B35" s="79">
        <f>SUM(B30:B34)</f>
        <v>23154</v>
      </c>
      <c r="C35" s="60"/>
      <c r="D35" s="79">
        <f>SUM(D30:D34)</f>
        <v>31375</v>
      </c>
      <c r="E35" s="60"/>
      <c r="F35" s="79">
        <f>SUM(F30:F34)</f>
        <v>32127</v>
      </c>
      <c r="G35" s="60"/>
      <c r="H35" s="79">
        <f>SUM(H30:H34)</f>
        <v>33639</v>
      </c>
      <c r="I35" s="60"/>
      <c r="J35" s="79">
        <f>SUM(J30:J34)</f>
        <v>23212</v>
      </c>
      <c r="K35" s="60"/>
    </row>
    <row r="36" spans="1:11" x14ac:dyDescent="0.25">
      <c r="A36" s="67"/>
      <c r="B36" s="74">
        <f>B35/$B$58</f>
        <v>9.5264348899403412E-2</v>
      </c>
      <c r="C36" s="62"/>
      <c r="D36" s="74">
        <f>D35/$D$58</f>
        <v>5.0670055975271397E-2</v>
      </c>
      <c r="E36" s="62"/>
      <c r="F36" s="74">
        <f>F35/$F$58</f>
        <v>4.0331266994569272E-2</v>
      </c>
      <c r="G36" s="62"/>
      <c r="H36" s="74">
        <f>H35/$H$58</f>
        <v>3.7523759805102669E-2</v>
      </c>
      <c r="I36" s="62"/>
      <c r="J36" s="74">
        <f>J35/$J$58</f>
        <v>2.3565314764260558E-2</v>
      </c>
      <c r="K36" s="62"/>
    </row>
    <row r="37" spans="1:11" x14ac:dyDescent="0.25">
      <c r="A37" s="64" t="s">
        <v>37</v>
      </c>
      <c r="B37" s="59"/>
      <c r="C37" s="59"/>
      <c r="D37" s="59"/>
      <c r="E37" s="59"/>
      <c r="F37" s="59"/>
      <c r="G37" s="59"/>
      <c r="H37" s="59"/>
      <c r="I37" s="59"/>
      <c r="J37" s="59"/>
      <c r="K37" s="59"/>
    </row>
    <row r="38" spans="1:11" x14ac:dyDescent="0.25">
      <c r="A38" t="s">
        <v>38</v>
      </c>
      <c r="B38" s="58" t="s">
        <v>10</v>
      </c>
      <c r="C38" s="77"/>
      <c r="D38" s="58">
        <v>45720</v>
      </c>
      <c r="E38" s="77">
        <f>D38/$D$43</f>
        <v>0.94591798733810573</v>
      </c>
      <c r="F38" s="58">
        <v>38752</v>
      </c>
      <c r="G38" s="77">
        <f>F38/$F$43</f>
        <v>0.39818335011610939</v>
      </c>
      <c r="H38" s="58">
        <v>31733</v>
      </c>
      <c r="I38" s="77">
        <f>H38/$H$43</f>
        <v>0.30789606458123109</v>
      </c>
      <c r="J38" s="58">
        <v>28964</v>
      </c>
      <c r="K38" s="77">
        <f>J38/$J$43</f>
        <v>0.29475998086767147</v>
      </c>
    </row>
    <row r="39" spans="1:11" x14ac:dyDescent="0.25">
      <c r="A39" t="s">
        <v>39</v>
      </c>
      <c r="B39" s="61" t="s">
        <v>10</v>
      </c>
      <c r="C39" s="77"/>
      <c r="D39" s="61" t="s">
        <v>10</v>
      </c>
      <c r="E39" s="77"/>
      <c r="F39" s="61">
        <v>57927</v>
      </c>
      <c r="G39" s="77">
        <f t="shared" ref="G39:G41" si="20">F39/$F$43</f>
        <v>0.59520971619983154</v>
      </c>
      <c r="H39" s="61">
        <v>70702</v>
      </c>
      <c r="I39" s="77">
        <f t="shared" ref="I39:I41" si="21">H39/$H$43</f>
        <v>0.68600093146006369</v>
      </c>
      <c r="J39" s="61">
        <v>68628</v>
      </c>
      <c r="K39" s="77">
        <f t="shared" ref="K39:K41" si="22">J39/$J$43</f>
        <v>0.69841140612438046</v>
      </c>
    </row>
    <row r="40" spans="1:11" x14ac:dyDescent="0.25">
      <c r="A40" t="s">
        <v>40</v>
      </c>
      <c r="B40" s="58" t="s">
        <v>10</v>
      </c>
      <c r="C40" s="77"/>
      <c r="D40" s="58">
        <v>1785</v>
      </c>
      <c r="E40" s="77">
        <f t="shared" ref="E40:E42" si="23">D40/$D$43</f>
        <v>3.693052509620557E-2</v>
      </c>
      <c r="F40" s="58">
        <v>270</v>
      </c>
      <c r="G40" s="77">
        <f t="shared" si="20"/>
        <v>2.7742956371632314E-3</v>
      </c>
      <c r="H40" s="58">
        <v>175</v>
      </c>
      <c r="I40" s="77">
        <f t="shared" si="21"/>
        <v>1.6979740743615617E-3</v>
      </c>
      <c r="J40" s="58">
        <v>94</v>
      </c>
      <c r="K40" s="77">
        <f t="shared" si="22"/>
        <v>9.5661642734294703E-4</v>
      </c>
    </row>
    <row r="41" spans="1:11" x14ac:dyDescent="0.25">
      <c r="A41" t="s">
        <v>41</v>
      </c>
      <c r="B41" s="58" t="s">
        <v>10</v>
      </c>
      <c r="C41" s="77"/>
      <c r="D41" s="58">
        <v>573</v>
      </c>
      <c r="E41" s="77">
        <f t="shared" si="23"/>
        <v>1.1855008896429015E-2</v>
      </c>
      <c r="F41" s="58">
        <v>373</v>
      </c>
      <c r="G41" s="77">
        <f t="shared" si="20"/>
        <v>3.8326380468958715E-3</v>
      </c>
      <c r="H41" s="58">
        <v>454</v>
      </c>
      <c r="I41" s="77">
        <f t="shared" si="21"/>
        <v>4.4050298843437089E-3</v>
      </c>
      <c r="J41" s="58">
        <v>577</v>
      </c>
      <c r="K41" s="77">
        <f t="shared" si="22"/>
        <v>5.8719965806051109E-3</v>
      </c>
    </row>
    <row r="42" spans="1:11" x14ac:dyDescent="0.25">
      <c r="A42" t="s">
        <v>42</v>
      </c>
      <c r="B42" s="58">
        <v>4</v>
      </c>
      <c r="C42" s="77">
        <f t="shared" ref="C42" si="24">B42/$B$43</f>
        <v>1</v>
      </c>
      <c r="D42" s="58">
        <v>256</v>
      </c>
      <c r="E42" s="77">
        <f t="shared" si="23"/>
        <v>5.2964786692597347E-3</v>
      </c>
      <c r="F42" s="58" t="s">
        <v>10</v>
      </c>
      <c r="G42" s="77"/>
      <c r="H42" s="58" t="s">
        <v>10</v>
      </c>
      <c r="J42" s="58" t="s">
        <v>10</v>
      </c>
    </row>
    <row r="43" spans="1:11" x14ac:dyDescent="0.25">
      <c r="A43" s="66" t="s">
        <v>43</v>
      </c>
      <c r="B43" s="79">
        <f>SUM(B38:B42)</f>
        <v>4</v>
      </c>
      <c r="C43" s="60"/>
      <c r="D43" s="79">
        <f>SUM(D38:D42)</f>
        <v>48334</v>
      </c>
      <c r="E43" s="60"/>
      <c r="F43" s="79">
        <f t="shared" ref="F43:J43" si="25">SUM(F38:F42)</f>
        <v>97322</v>
      </c>
      <c r="G43" s="60"/>
      <c r="H43" s="79">
        <f t="shared" si="25"/>
        <v>103064</v>
      </c>
      <c r="I43" s="60"/>
      <c r="J43" s="79">
        <f t="shared" si="25"/>
        <v>98263</v>
      </c>
      <c r="K43" s="60"/>
    </row>
    <row r="44" spans="1:11" x14ac:dyDescent="0.25">
      <c r="A44" s="67"/>
      <c r="B44" s="76">
        <f>B43/$B$58</f>
        <v>1.6457519029006377E-5</v>
      </c>
      <c r="C44" s="62"/>
      <c r="D44" s="74">
        <f>D43/$D$58</f>
        <v>7.8058533402669883E-2</v>
      </c>
      <c r="E44" s="62"/>
      <c r="F44" s="74">
        <f>F43/$F$58</f>
        <v>0.12217510400739162</v>
      </c>
      <c r="G44" s="62"/>
      <c r="H44" s="74">
        <f>H43/$H$58</f>
        <v>0.11496622315030475</v>
      </c>
      <c r="I44" s="62"/>
      <c r="J44" s="74">
        <f>J43/$J$58</f>
        <v>9.9758681917996528E-2</v>
      </c>
      <c r="K44" s="62"/>
    </row>
    <row r="45" spans="1:11" x14ac:dyDescent="0.25">
      <c r="A45" s="64" t="s">
        <v>44</v>
      </c>
      <c r="B45" s="59"/>
      <c r="C45" s="59"/>
      <c r="D45" s="59"/>
      <c r="E45" s="59"/>
      <c r="F45" s="59"/>
      <c r="G45" s="59"/>
      <c r="H45" s="59"/>
      <c r="I45" s="59"/>
      <c r="J45" s="59"/>
      <c r="K45" s="59"/>
    </row>
    <row r="46" spans="1:11" x14ac:dyDescent="0.25">
      <c r="A46" t="s">
        <v>45</v>
      </c>
      <c r="B46" s="58">
        <v>77698</v>
      </c>
      <c r="C46" s="77">
        <f>B46/$B$54</f>
        <v>0.78987871948925958</v>
      </c>
      <c r="D46" s="58">
        <v>155420</v>
      </c>
      <c r="E46" s="77">
        <f>D46/$D$54</f>
        <v>0.7554745412565318</v>
      </c>
      <c r="F46" s="58">
        <v>176065</v>
      </c>
      <c r="G46" s="77">
        <f>F46/$F$54</f>
        <v>0.79964483443016821</v>
      </c>
      <c r="H46" s="58">
        <v>207862</v>
      </c>
      <c r="I46" s="77">
        <f>H46/$H$54</f>
        <v>0.7994661558994004</v>
      </c>
      <c r="J46" s="58">
        <v>237324</v>
      </c>
      <c r="K46" s="77">
        <f>J46/$J$54</f>
        <v>0.73726688971938226</v>
      </c>
    </row>
    <row r="47" spans="1:11" ht="30" x14ac:dyDescent="0.25">
      <c r="A47" s="65" t="s">
        <v>46</v>
      </c>
      <c r="B47" s="58">
        <v>8708</v>
      </c>
      <c r="C47" s="77">
        <f t="shared" ref="C47:C53" si="26">B47/$B$54</f>
        <v>8.8525623430622064E-2</v>
      </c>
      <c r="D47" s="58">
        <v>22435</v>
      </c>
      <c r="E47" s="77">
        <f t="shared" ref="E47:E53" si="27">D47/$D$54</f>
        <v>0.10905334791590716</v>
      </c>
      <c r="F47" s="58">
        <v>12975</v>
      </c>
      <c r="G47" s="77">
        <f t="shared" ref="G47:G53" si="28">F47/$F$54</f>
        <v>5.892932568501083E-2</v>
      </c>
      <c r="H47" s="58">
        <v>14346</v>
      </c>
      <c r="I47" s="77">
        <f t="shared" ref="I47:I53" si="29">H47/$H$54</f>
        <v>5.5176710858804393E-2</v>
      </c>
      <c r="J47" s="58">
        <v>18003</v>
      </c>
      <c r="K47" s="77">
        <f t="shared" ref="K47:K53" si="30">J47/$J$54</f>
        <v>5.5927827845553078E-2</v>
      </c>
    </row>
    <row r="48" spans="1:11" x14ac:dyDescent="0.25">
      <c r="A48" s="65" t="s">
        <v>47</v>
      </c>
      <c r="B48" s="58">
        <v>8579</v>
      </c>
      <c r="C48" s="77">
        <f t="shared" si="26"/>
        <v>8.7214208016916248E-2</v>
      </c>
      <c r="D48" s="58">
        <v>6940</v>
      </c>
      <c r="E48" s="77">
        <f t="shared" si="27"/>
        <v>3.3734354113501036E-2</v>
      </c>
      <c r="F48" s="58">
        <v>8112</v>
      </c>
      <c r="G48" s="77">
        <f t="shared" si="28"/>
        <v>3.6842750671044922E-2</v>
      </c>
      <c r="H48" s="58">
        <v>6604</v>
      </c>
      <c r="I48" s="77">
        <f t="shared" si="29"/>
        <v>2.5399902308068045E-2</v>
      </c>
      <c r="J48" s="58">
        <v>7998</v>
      </c>
      <c r="K48" s="77">
        <f t="shared" si="30"/>
        <v>2.4846457096524666E-2</v>
      </c>
    </row>
    <row r="49" spans="1:11" x14ac:dyDescent="0.25">
      <c r="A49" t="s">
        <v>39</v>
      </c>
      <c r="B49" s="58" t="s">
        <v>10</v>
      </c>
      <c r="C49" s="77"/>
      <c r="D49" s="58" t="s">
        <v>10</v>
      </c>
      <c r="E49" s="77"/>
      <c r="F49" s="58">
        <v>10532</v>
      </c>
      <c r="G49" s="77">
        <f t="shared" si="28"/>
        <v>4.7833807947170258E-2</v>
      </c>
      <c r="H49" s="58">
        <v>10051</v>
      </c>
      <c r="I49" s="77">
        <f t="shared" si="29"/>
        <v>3.8657543624832209E-2</v>
      </c>
      <c r="J49" s="58">
        <v>15797</v>
      </c>
      <c r="K49" s="77">
        <f t="shared" si="30"/>
        <v>4.9074704020230071E-2</v>
      </c>
    </row>
    <row r="50" spans="1:11" x14ac:dyDescent="0.25">
      <c r="A50" t="s">
        <v>38</v>
      </c>
      <c r="B50" s="58">
        <v>780</v>
      </c>
      <c r="C50" s="77">
        <f t="shared" si="26"/>
        <v>7.9294885479886546E-3</v>
      </c>
      <c r="D50" s="58">
        <v>13789</v>
      </c>
      <c r="E50" s="77">
        <f t="shared" si="27"/>
        <v>6.7026370154332243E-2</v>
      </c>
      <c r="F50" s="58">
        <v>10658</v>
      </c>
      <c r="G50" s="77">
        <f t="shared" si="28"/>
        <v>4.8406069607001577E-2</v>
      </c>
      <c r="H50" s="58">
        <v>16195</v>
      </c>
      <c r="I50" s="77">
        <f t="shared" si="29"/>
        <v>6.2288221968377043E-2</v>
      </c>
      <c r="J50" s="58">
        <v>40174</v>
      </c>
      <c r="K50" s="77">
        <f t="shared" si="30"/>
        <v>0.12480389689869741</v>
      </c>
    </row>
    <row r="51" spans="1:11" x14ac:dyDescent="0.25">
      <c r="A51" t="s">
        <v>48</v>
      </c>
      <c r="B51" s="58">
        <v>531</v>
      </c>
      <c r="C51" s="77">
        <f t="shared" si="26"/>
        <v>5.3981518192076612E-3</v>
      </c>
      <c r="D51" s="58">
        <v>1397</v>
      </c>
      <c r="E51" s="77">
        <f t="shared" si="27"/>
        <v>6.7906185441730469E-3</v>
      </c>
      <c r="F51" s="58">
        <v>9</v>
      </c>
      <c r="G51" s="77">
        <f t="shared" si="28"/>
        <v>4.0875832845094218E-5</v>
      </c>
      <c r="H51" s="58">
        <v>1643</v>
      </c>
      <c r="I51" s="77">
        <f t="shared" si="29"/>
        <v>6.3192064645905205E-3</v>
      </c>
      <c r="J51" s="58">
        <v>9</v>
      </c>
      <c r="K51" s="77">
        <f t="shared" si="30"/>
        <v>2.7959254047102024E-5</v>
      </c>
    </row>
    <row r="52" spans="1:11" x14ac:dyDescent="0.25">
      <c r="A52" t="s">
        <v>49</v>
      </c>
      <c r="B52" s="58">
        <v>1627</v>
      </c>
      <c r="C52" s="77">
        <f t="shared" si="26"/>
        <v>1.6540099830227618E-2</v>
      </c>
      <c r="D52" s="58">
        <v>2782</v>
      </c>
      <c r="E52" s="77">
        <f t="shared" si="27"/>
        <v>1.3522906793048973E-2</v>
      </c>
      <c r="F52" s="58">
        <v>1460</v>
      </c>
      <c r="G52" s="77">
        <f t="shared" si="28"/>
        <v>6.6309684393152848E-3</v>
      </c>
      <c r="H52" s="58">
        <v>2312</v>
      </c>
      <c r="I52" s="77">
        <f t="shared" si="29"/>
        <v>8.8922734912558025E-3</v>
      </c>
      <c r="J52" s="58">
        <v>2428</v>
      </c>
      <c r="K52" s="77">
        <f t="shared" si="30"/>
        <v>7.542785425151524E-3</v>
      </c>
    </row>
    <row r="53" spans="1:11" x14ac:dyDescent="0.25">
      <c r="A53" t="s">
        <v>50</v>
      </c>
      <c r="B53" s="58">
        <v>444</v>
      </c>
      <c r="C53" s="77">
        <f t="shared" si="26"/>
        <v>4.5137088657781575E-3</v>
      </c>
      <c r="D53" s="58">
        <v>2962</v>
      </c>
      <c r="E53" s="77">
        <f t="shared" si="27"/>
        <v>1.4397861222505772E-2</v>
      </c>
      <c r="F53" s="58">
        <v>368</v>
      </c>
      <c r="G53" s="77">
        <f t="shared" si="28"/>
        <v>1.6713673874438526E-3</v>
      </c>
      <c r="H53" s="58">
        <v>988</v>
      </c>
      <c r="I53" s="77">
        <f t="shared" si="29"/>
        <v>3.7999853846715976E-3</v>
      </c>
      <c r="J53" s="58">
        <v>164</v>
      </c>
      <c r="K53" s="77">
        <f t="shared" si="30"/>
        <v>5.0947974041385909E-4</v>
      </c>
    </row>
    <row r="54" spans="1:11" x14ac:dyDescent="0.25">
      <c r="A54" s="66" t="s">
        <v>51</v>
      </c>
      <c r="B54" s="79">
        <f t="shared" ref="B54:D54" si="31">SUM(B46:B53)</f>
        <v>98367</v>
      </c>
      <c r="C54" s="60"/>
      <c r="D54" s="79">
        <f t="shared" si="31"/>
        <v>205725</v>
      </c>
      <c r="E54" s="60"/>
      <c r="F54" s="79">
        <f>SUM(F46:F53)</f>
        <v>220179</v>
      </c>
      <c r="G54" s="60"/>
      <c r="H54" s="79">
        <f>SUM(H46:H53)</f>
        <v>260001</v>
      </c>
      <c r="I54" s="60"/>
      <c r="J54" s="79">
        <f>SUM(J46:J53)</f>
        <v>321897</v>
      </c>
      <c r="K54" s="60"/>
    </row>
    <row r="55" spans="1:11" x14ac:dyDescent="0.25">
      <c r="A55" s="68"/>
      <c r="B55" s="76">
        <f>B54/$B$58</f>
        <v>0.4047191935815676</v>
      </c>
      <c r="C55" s="59"/>
      <c r="D55" s="74">
        <f>D54/$D$58</f>
        <v>0.33224214392072376</v>
      </c>
      <c r="E55" s="59"/>
      <c r="F55" s="74">
        <f>F54/$F$58</f>
        <v>0.27640607699434333</v>
      </c>
      <c r="G55" s="59"/>
      <c r="H55" s="74">
        <f>H54/$H$58</f>
        <v>0.29002690546944021</v>
      </c>
      <c r="I55" s="59"/>
      <c r="J55" s="74">
        <f>J54/$J$58</f>
        <v>0.32679666235874466</v>
      </c>
      <c r="K55" s="59"/>
    </row>
    <row r="56" spans="1:11" x14ac:dyDescent="0.25">
      <c r="A56" s="66" t="s">
        <v>52</v>
      </c>
      <c r="B56" s="79">
        <f t="shared" ref="B56:D56" si="32">B43+B54</f>
        <v>98371</v>
      </c>
      <c r="C56" s="60"/>
      <c r="D56" s="79">
        <f t="shared" si="32"/>
        <v>254059</v>
      </c>
      <c r="E56" s="60"/>
      <c r="F56" s="79">
        <f>F43+F54</f>
        <v>317501</v>
      </c>
      <c r="G56" s="60"/>
      <c r="H56" s="79">
        <f>H43+H54</f>
        <v>363065</v>
      </c>
      <c r="I56" s="60"/>
      <c r="J56" s="79">
        <f>J43+J54</f>
        <v>420160</v>
      </c>
      <c r="K56" s="60"/>
    </row>
    <row r="57" spans="1:11" x14ac:dyDescent="0.25">
      <c r="A57" s="69" t="s">
        <v>53</v>
      </c>
      <c r="B57" s="56">
        <f>B35+B56</f>
        <v>121525</v>
      </c>
      <c r="C57" s="56"/>
      <c r="D57" s="56">
        <f>D35+D56</f>
        <v>285434</v>
      </c>
      <c r="E57" s="56"/>
      <c r="F57" s="56">
        <f>F35+F56</f>
        <v>349628</v>
      </c>
      <c r="G57" s="56"/>
      <c r="H57" s="56">
        <f>H35+H56</f>
        <v>396704</v>
      </c>
      <c r="I57" s="56"/>
      <c r="J57" s="56">
        <f>J35+J56</f>
        <v>443372</v>
      </c>
      <c r="K57" s="56"/>
    </row>
    <row r="58" spans="1:11" x14ac:dyDescent="0.25">
      <c r="A58" s="57"/>
      <c r="B58" s="82">
        <f>B14+B25+B35+B43+B54</f>
        <v>243050</v>
      </c>
      <c r="C58" s="83"/>
      <c r="D58" s="82">
        <f>D14+D25+D35+D43+D56</f>
        <v>619202</v>
      </c>
      <c r="E58" s="83"/>
      <c r="F58" s="82">
        <f>F14+F25+F35+F43+F56</f>
        <v>796578</v>
      </c>
      <c r="G58" s="83"/>
      <c r="H58" s="82">
        <f>H14+H25+H35+H43+H56</f>
        <v>896472</v>
      </c>
      <c r="I58" s="83"/>
      <c r="J58" s="82">
        <f>J14+J25+J35+J43+J56</f>
        <v>985007</v>
      </c>
      <c r="K58" s="56"/>
    </row>
    <row r="59" spans="1:11" x14ac:dyDescent="0.25">
      <c r="A59" s="57"/>
      <c r="B59" s="56"/>
      <c r="C59" s="56"/>
      <c r="D59" s="56"/>
      <c r="E59" s="56"/>
      <c r="F59" s="56"/>
      <c r="G59" s="56"/>
      <c r="H59" s="56"/>
      <c r="I59" s="56"/>
      <c r="J59" s="56"/>
      <c r="K59" s="56"/>
    </row>
    <row r="60" spans="1:11" x14ac:dyDescent="0.25">
      <c r="A60" s="57"/>
      <c r="B60" s="59"/>
      <c r="C60" s="59"/>
      <c r="D60" s="59"/>
      <c r="E60" s="59"/>
      <c r="F60" s="59"/>
      <c r="G60" s="59"/>
      <c r="H60" s="59"/>
      <c r="I60" s="59"/>
      <c r="J60" s="59"/>
      <c r="K60" s="59"/>
    </row>
    <row r="61" spans="1:11" ht="17.25" x14ac:dyDescent="0.3">
      <c r="A61" s="97" t="s">
        <v>54</v>
      </c>
      <c r="B61" s="97"/>
      <c r="C61" s="97"/>
      <c r="D61" s="97"/>
      <c r="E61" s="97"/>
      <c r="F61" s="97"/>
      <c r="G61" s="97"/>
      <c r="H61" s="97"/>
      <c r="I61" s="97"/>
      <c r="J61" s="97"/>
      <c r="K61" s="72"/>
    </row>
    <row r="62" spans="1:11" ht="17.25" x14ac:dyDescent="0.3">
      <c r="A62" s="98"/>
      <c r="B62" s="98"/>
      <c r="C62" s="98"/>
      <c r="D62" s="98"/>
      <c r="E62" s="98"/>
      <c r="F62" s="98"/>
      <c r="G62" s="98"/>
      <c r="H62" s="98"/>
      <c r="I62" s="98"/>
      <c r="J62" s="98"/>
      <c r="K62" s="72"/>
    </row>
    <row r="63" spans="1:11" x14ac:dyDescent="0.25">
      <c r="A63" s="84" t="s">
        <v>55</v>
      </c>
      <c r="B63" s="85">
        <v>198197</v>
      </c>
      <c r="C63" s="86"/>
      <c r="D63" s="85">
        <v>321102</v>
      </c>
      <c r="E63" s="86"/>
      <c r="F63" s="85">
        <v>365216</v>
      </c>
      <c r="G63" s="86"/>
      <c r="H63" s="85">
        <v>417857</v>
      </c>
      <c r="I63" s="86"/>
      <c r="J63" s="85">
        <v>476364</v>
      </c>
      <c r="K63" s="86"/>
    </row>
    <row r="64" spans="1:11" x14ac:dyDescent="0.25">
      <c r="A64" t="s">
        <v>56</v>
      </c>
      <c r="B64" s="61">
        <v>151670</v>
      </c>
      <c r="C64" s="77">
        <f>B64/$B$63</f>
        <v>0.76524871718542664</v>
      </c>
      <c r="D64" s="61">
        <v>242463</v>
      </c>
      <c r="E64" s="77">
        <f>D64/$D$63</f>
        <v>0.75509651138890443</v>
      </c>
      <c r="F64" s="61">
        <v>274143</v>
      </c>
      <c r="G64" s="77">
        <f>F64/$F$63</f>
        <v>0.75063250240953294</v>
      </c>
      <c r="H64" s="61">
        <v>320522</v>
      </c>
      <c r="I64" s="77">
        <f>H64/$H$63</f>
        <v>0.76706145882443033</v>
      </c>
      <c r="J64" s="61">
        <v>381419</v>
      </c>
      <c r="K64" s="77">
        <f>J64/$J$63</f>
        <v>0.80068812924570287</v>
      </c>
    </row>
    <row r="65" spans="1:11" x14ac:dyDescent="0.25">
      <c r="A65" s="70" t="s">
        <v>57</v>
      </c>
      <c r="B65" s="56">
        <v>46527</v>
      </c>
      <c r="C65" s="78"/>
      <c r="D65" s="62">
        <v>78639</v>
      </c>
      <c r="E65" s="78"/>
      <c r="F65" s="62">
        <v>91073</v>
      </c>
      <c r="G65" s="78"/>
      <c r="H65" s="62">
        <v>97335</v>
      </c>
      <c r="I65" s="78"/>
      <c r="J65" s="62">
        <v>94945</v>
      </c>
      <c r="K65" s="78"/>
    </row>
    <row r="66" spans="1:11" ht="30" x14ac:dyDescent="0.25">
      <c r="A66" s="65" t="s">
        <v>58</v>
      </c>
      <c r="B66" s="58">
        <v>40754</v>
      </c>
      <c r="C66" s="77">
        <f t="shared" ref="C66:C74" si="33">B66/$B$63</f>
        <v>0.20562369763417207</v>
      </c>
      <c r="D66" s="58">
        <v>69234</v>
      </c>
      <c r="E66" s="77">
        <f t="shared" ref="E66:E71" si="34">D66/$D$63</f>
        <v>0.21561373021656668</v>
      </c>
      <c r="F66" s="58">
        <v>72546</v>
      </c>
      <c r="G66" s="77">
        <f t="shared" ref="G66:G73" si="35">F66/$F$63</f>
        <v>0.19863861386138615</v>
      </c>
      <c r="H66" s="58">
        <v>78818</v>
      </c>
      <c r="I66" s="77">
        <f t="shared" ref="I66:I73" si="36">H66/$H$63</f>
        <v>0.18862433799122666</v>
      </c>
      <c r="J66" s="58">
        <v>87192</v>
      </c>
      <c r="K66" s="77">
        <f t="shared" ref="K66:K73" si="37">J66/$J$63</f>
        <v>0.18303650149885381</v>
      </c>
    </row>
    <row r="67" spans="1:11" x14ac:dyDescent="0.25">
      <c r="A67" s="65" t="s">
        <v>59</v>
      </c>
      <c r="B67" s="58">
        <v>2623</v>
      </c>
      <c r="C67" s="77">
        <f t="shared" si="33"/>
        <v>1.3234307280130374E-2</v>
      </c>
      <c r="D67" s="58">
        <v>6079</v>
      </c>
      <c r="E67" s="77">
        <f t="shared" si="34"/>
        <v>1.8931679030339269E-2</v>
      </c>
      <c r="F67" s="58">
        <v>6408</v>
      </c>
      <c r="G67" s="77">
        <f t="shared" si="35"/>
        <v>1.7545781126785245E-2</v>
      </c>
      <c r="H67" s="58">
        <v>4987</v>
      </c>
      <c r="I67" s="77">
        <f t="shared" si="36"/>
        <v>1.1934704934941857E-2</v>
      </c>
      <c r="J67" s="58">
        <v>6403</v>
      </c>
      <c r="K67" s="77">
        <f t="shared" si="37"/>
        <v>1.344140195312828E-2</v>
      </c>
    </row>
    <row r="68" spans="1:11" x14ac:dyDescent="0.25">
      <c r="A68" s="65" t="s">
        <v>60</v>
      </c>
      <c r="B68" s="58">
        <v>216</v>
      </c>
      <c r="C68" s="77">
        <f t="shared" si="33"/>
        <v>1.0898247703042931E-3</v>
      </c>
      <c r="D68" s="58">
        <v>801</v>
      </c>
      <c r="E68" s="77">
        <f t="shared" si="34"/>
        <v>2.4945344469981499E-3</v>
      </c>
      <c r="F68" s="58">
        <v>821</v>
      </c>
      <c r="G68" s="77">
        <f t="shared" si="35"/>
        <v>2.247984754227635E-3</v>
      </c>
      <c r="H68" s="58">
        <v>577</v>
      </c>
      <c r="I68" s="77">
        <f t="shared" si="36"/>
        <v>1.3808551729419395E-3</v>
      </c>
      <c r="J68" s="58">
        <v>414</v>
      </c>
      <c r="K68" s="77">
        <f t="shared" si="37"/>
        <v>8.6908330604327784E-4</v>
      </c>
    </row>
    <row r="69" spans="1:11" x14ac:dyDescent="0.25">
      <c r="A69" s="64" t="s">
        <v>61</v>
      </c>
      <c r="B69" s="59">
        <v>8180</v>
      </c>
      <c r="C69" s="77">
        <f t="shared" si="33"/>
        <v>4.1272067690227399E-2</v>
      </c>
      <c r="D69" s="59">
        <v>14683</v>
      </c>
      <c r="E69" s="77">
        <f t="shared" si="34"/>
        <v>4.5726902977869958E-2</v>
      </c>
      <c r="F69" s="59">
        <v>24114</v>
      </c>
      <c r="G69" s="77">
        <f t="shared" si="35"/>
        <v>6.602668010163848E-2</v>
      </c>
      <c r="H69" s="59">
        <v>22927</v>
      </c>
      <c r="I69" s="77">
        <f t="shared" si="36"/>
        <v>5.4868052946342886E-2</v>
      </c>
      <c r="J69" s="59">
        <v>13742</v>
      </c>
      <c r="K69" s="77">
        <f t="shared" si="37"/>
        <v>2.884768790252832E-2</v>
      </c>
    </row>
    <row r="70" spans="1:11" x14ac:dyDescent="0.25">
      <c r="A70" t="s">
        <v>62</v>
      </c>
      <c r="B70" s="58">
        <v>659</v>
      </c>
      <c r="C70" s="77">
        <f t="shared" si="33"/>
        <v>3.3249746464376353E-3</v>
      </c>
      <c r="D70" s="58">
        <v>509</v>
      </c>
      <c r="E70" s="77">
        <f t="shared" si="34"/>
        <v>1.5851660842972014E-3</v>
      </c>
      <c r="F70" s="58">
        <v>295</v>
      </c>
      <c r="G70" s="77">
        <f t="shared" si="35"/>
        <v>8.0774117234732321E-4</v>
      </c>
      <c r="H70" s="58">
        <v>491</v>
      </c>
      <c r="I70" s="77">
        <f t="shared" si="36"/>
        <v>1.1750431367668845E-3</v>
      </c>
      <c r="J70" s="58">
        <v>164</v>
      </c>
      <c r="K70" s="77">
        <f t="shared" si="37"/>
        <v>3.442745463553081E-4</v>
      </c>
    </row>
    <row r="71" spans="1:11" x14ac:dyDescent="0.25">
      <c r="A71" t="s">
        <v>63</v>
      </c>
      <c r="B71" s="58" t="s">
        <v>10</v>
      </c>
      <c r="C71" s="77"/>
      <c r="D71" s="58">
        <v>3617</v>
      </c>
      <c r="E71" s="77">
        <f t="shared" si="34"/>
        <v>1.1264333451675792E-2</v>
      </c>
      <c r="F71" s="58">
        <v>12961</v>
      </c>
      <c r="G71" s="77">
        <f t="shared" si="35"/>
        <v>3.5488587575571717E-2</v>
      </c>
      <c r="H71" s="58">
        <v>12733</v>
      </c>
      <c r="I71" s="77">
        <f t="shared" si="36"/>
        <v>3.0472147169964846E-2</v>
      </c>
      <c r="J71" s="58">
        <v>14417</v>
      </c>
      <c r="K71" s="77">
        <f t="shared" si="37"/>
        <v>3.0264671553685837E-2</v>
      </c>
    </row>
    <row r="72" spans="1:11" ht="45" x14ac:dyDescent="0.25">
      <c r="A72" s="65" t="s">
        <v>64</v>
      </c>
      <c r="B72" s="58" t="s">
        <v>10</v>
      </c>
      <c r="C72" s="77"/>
      <c r="D72" s="58" t="s">
        <v>10</v>
      </c>
      <c r="E72" s="77"/>
      <c r="F72" s="58" t="s">
        <v>10</v>
      </c>
      <c r="G72" s="77"/>
      <c r="H72" s="58" t="s">
        <v>10</v>
      </c>
      <c r="I72" s="77"/>
      <c r="J72" s="58">
        <v>4576</v>
      </c>
      <c r="K72" s="77">
        <f t="shared" si="37"/>
        <v>9.6060995373285982E-3</v>
      </c>
    </row>
    <row r="73" spans="1:11" ht="30" x14ac:dyDescent="0.25">
      <c r="A73" s="65" t="s">
        <v>65</v>
      </c>
      <c r="B73" s="58" t="s">
        <v>10</v>
      </c>
      <c r="C73" s="77"/>
      <c r="D73" s="58" t="s">
        <v>10</v>
      </c>
      <c r="E73" s="77"/>
      <c r="F73" s="58">
        <v>1955</v>
      </c>
      <c r="G73" s="77">
        <f t="shared" si="35"/>
        <v>5.352996582844125E-3</v>
      </c>
      <c r="H73" s="58">
        <v>2468</v>
      </c>
      <c r="I73" s="77">
        <f t="shared" si="36"/>
        <v>5.9063268055818139E-3</v>
      </c>
      <c r="J73" s="58">
        <v>945</v>
      </c>
      <c r="K73" s="77">
        <f t="shared" si="37"/>
        <v>1.9837771116205257E-3</v>
      </c>
    </row>
    <row r="74" spans="1:11" x14ac:dyDescent="0.25">
      <c r="A74" s="64" t="s">
        <v>66</v>
      </c>
      <c r="B74" s="59">
        <v>8839</v>
      </c>
      <c r="C74" s="77">
        <f t="shared" si="33"/>
        <v>4.4597042336665033E-2</v>
      </c>
      <c r="D74" s="59">
        <v>11575</v>
      </c>
      <c r="E74" s="59"/>
      <c r="F74" s="59">
        <v>9493</v>
      </c>
      <c r="G74" s="77"/>
      <c r="H74" s="59">
        <v>8217</v>
      </c>
      <c r="I74" s="59"/>
      <c r="J74" s="59">
        <v>3120</v>
      </c>
      <c r="K74" s="59"/>
    </row>
    <row r="75" spans="1:11" x14ac:dyDescent="0.25">
      <c r="A75" t="s">
        <v>67</v>
      </c>
      <c r="B75" s="58">
        <v>1885</v>
      </c>
      <c r="C75" s="77">
        <f t="shared" ref="C75" si="38">B75/$B$63</f>
        <v>9.5107393149240407E-3</v>
      </c>
      <c r="D75" s="58">
        <v>3210</v>
      </c>
      <c r="E75" s="77">
        <f>D75/$D$76</f>
        <v>0.38374178123132097</v>
      </c>
      <c r="F75" s="58">
        <v>2359</v>
      </c>
      <c r="G75" s="77">
        <f>F75/$F$76</f>
        <v>0.33067003083823943</v>
      </c>
      <c r="H75" s="58">
        <v>1676</v>
      </c>
      <c r="I75" s="77">
        <f>H75/$H$76</f>
        <v>0.25622993426081642</v>
      </c>
      <c r="J75" s="58">
        <v>740</v>
      </c>
      <c r="K75" s="77">
        <f>J75/$J$76</f>
        <v>0.31092436974789917</v>
      </c>
    </row>
    <row r="76" spans="1:11" ht="30" x14ac:dyDescent="0.25">
      <c r="A76" s="69" t="s">
        <v>68</v>
      </c>
      <c r="B76" s="59">
        <v>6954</v>
      </c>
      <c r="C76" s="59"/>
      <c r="D76" s="59">
        <v>8365</v>
      </c>
      <c r="E76" s="59"/>
      <c r="F76" s="59">
        <v>7134</v>
      </c>
      <c r="G76" s="59"/>
      <c r="H76" s="59">
        <v>6541</v>
      </c>
      <c r="I76" s="59"/>
      <c r="J76" s="59">
        <v>2380</v>
      </c>
      <c r="K76" s="59"/>
    </row>
    <row r="77" spans="1:11" x14ac:dyDescent="0.25">
      <c r="A77" t="s">
        <v>69</v>
      </c>
      <c r="B77" s="58">
        <v>38.729999999999997</v>
      </c>
      <c r="D77" s="58">
        <v>48.04</v>
      </c>
      <c r="F77" s="58">
        <v>40.130000000000003</v>
      </c>
      <c r="H77" s="58">
        <v>36.79</v>
      </c>
      <c r="J77" s="58">
        <v>13.36</v>
      </c>
    </row>
    <row r="78" spans="1:11" x14ac:dyDescent="0.25">
      <c r="A78" t="s">
        <v>70</v>
      </c>
      <c r="B78" s="58">
        <v>38.729999999999997</v>
      </c>
      <c r="D78" s="58">
        <v>48.04</v>
      </c>
      <c r="F78" s="58">
        <v>40.130000000000003</v>
      </c>
      <c r="H78" s="58">
        <v>36.74</v>
      </c>
      <c r="J78" s="58">
        <v>13.32</v>
      </c>
    </row>
    <row r="79" spans="1:11" ht="60" x14ac:dyDescent="0.25">
      <c r="A79" s="71" t="s">
        <v>71</v>
      </c>
      <c r="B79" s="56" t="s">
        <v>10</v>
      </c>
      <c r="C79" s="56"/>
      <c r="D79" s="56" t="s">
        <v>10</v>
      </c>
      <c r="E79" s="56"/>
      <c r="F79" s="56">
        <v>9089</v>
      </c>
      <c r="G79" s="56"/>
      <c r="H79" s="56">
        <v>9009</v>
      </c>
      <c r="I79" s="56"/>
      <c r="J79" s="56">
        <v>3325</v>
      </c>
      <c r="K79" s="56"/>
    </row>
  </sheetData>
  <mergeCells count="2">
    <mergeCell ref="A1:J1"/>
    <mergeCell ref="A61:J62"/>
  </mergeCells>
  <conditionalFormatting sqref="C5:C13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{757FEF81-C171-48CE-BFFD-64EB25B92482}</x14:id>
        </ext>
      </extLst>
    </cfRule>
  </conditionalFormatting>
  <conditionalFormatting sqref="E5:E13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{AB73D354-ED86-40C0-AC8C-3E260D01058A}</x14:id>
        </ext>
      </extLst>
    </cfRule>
  </conditionalFormatting>
  <conditionalFormatting sqref="G5:G13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{A3CE3239-10E8-46D5-995D-EBB02EE4EDBF}</x14:id>
        </ext>
      </extLst>
    </cfRule>
  </conditionalFormatting>
  <conditionalFormatting sqref="I5:I13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{BE4D7DD1-11F3-41F4-8108-869B1DC7B4C5}</x14:id>
        </ext>
      </extLst>
    </cfRule>
  </conditionalFormatting>
  <conditionalFormatting sqref="K5:K13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{1397155F-4023-4673-98BD-22A992FFF280}</x14:id>
        </ext>
      </extLst>
    </cfRule>
  </conditionalFormatting>
  <conditionalFormatting sqref="C17:C24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{89405929-25B0-44AC-AE48-04526257C1A7}</x14:id>
        </ext>
      </extLst>
    </cfRule>
  </conditionalFormatting>
  <conditionalFormatting sqref="E17:E24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{2AF5D76F-F287-4245-BEA4-9F46E55BFAA4}</x14:id>
        </ext>
      </extLst>
    </cfRule>
  </conditionalFormatting>
  <conditionalFormatting sqref="G17:G24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{09EB264F-C136-4844-91E0-9CA3B2576758}</x14:id>
        </ext>
      </extLst>
    </cfRule>
  </conditionalFormatting>
  <conditionalFormatting sqref="I17:I24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{07250383-780A-4F46-9485-8F344E12FAAB}</x14:id>
        </ext>
      </extLst>
    </cfRule>
  </conditionalFormatting>
  <conditionalFormatting sqref="K17:K24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{87FFAF55-BFD5-423F-9BC2-A9115920F00D}</x14:id>
        </ext>
      </extLst>
    </cfRule>
  </conditionalFormatting>
  <conditionalFormatting sqref="C30:C34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{D005EF64-484A-4B08-8E90-901487DD6D38}</x14:id>
        </ext>
      </extLst>
    </cfRule>
  </conditionalFormatting>
  <conditionalFormatting sqref="E30:E34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{812E8090-395B-4BAF-A3CD-731597FC64FF}</x14:id>
        </ext>
      </extLst>
    </cfRule>
  </conditionalFormatting>
  <conditionalFormatting sqref="G30:G34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{9C089D50-2D06-49FF-8146-873D0B8D5B52}</x14:id>
        </ext>
      </extLst>
    </cfRule>
  </conditionalFormatting>
  <conditionalFormatting sqref="I30:I33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{153B05BE-69DC-4C4F-8441-2466DE109A2A}</x14:id>
        </ext>
      </extLst>
    </cfRule>
  </conditionalFormatting>
  <conditionalFormatting sqref="K30:K34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{50FE6DF9-8CDF-4326-B119-5C132213A998}</x14:id>
        </ext>
      </extLst>
    </cfRule>
  </conditionalFormatting>
  <conditionalFormatting sqref="C38:C42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{3E4E250A-6B84-4861-BA5E-1368AD099CAB}</x14:id>
        </ext>
      </extLst>
    </cfRule>
  </conditionalFormatting>
  <conditionalFormatting sqref="E38:E42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{8B761BDA-D61B-4CDE-9E21-EF7B8B3762FD}</x14:id>
        </ext>
      </extLst>
    </cfRule>
  </conditionalFormatting>
  <conditionalFormatting sqref="G38:G42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{797B15A4-7CF4-4612-A5BB-3A889ED0295F}</x14:id>
        </ext>
      </extLst>
    </cfRule>
  </conditionalFormatting>
  <conditionalFormatting sqref="I38:I4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{A1153824-85C9-4914-A4C5-6D702D8FF33C}</x14:id>
        </ext>
      </extLst>
    </cfRule>
  </conditionalFormatting>
  <conditionalFormatting sqref="K38:K42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{DAD72401-A29C-45CB-9145-4A1B8DAE5747}</x14:id>
        </ext>
      </extLst>
    </cfRule>
  </conditionalFormatting>
  <conditionalFormatting sqref="C46:C5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{D8B0FBB1-EE98-4B51-B82E-F11C23D80914}</x14:id>
        </ext>
      </extLst>
    </cfRule>
  </conditionalFormatting>
  <conditionalFormatting sqref="E46:E5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{7225E17F-7AF4-4527-BA75-7FC5A431C553}</x14:id>
        </ext>
      </extLst>
    </cfRule>
  </conditionalFormatting>
  <conditionalFormatting sqref="G46:G5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{6E72791B-0CFE-408C-B2F1-D03ECBA71090}</x14:id>
        </ext>
      </extLst>
    </cfRule>
  </conditionalFormatting>
  <conditionalFormatting sqref="I46:I5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{48DAC6E8-B840-4AB1-9272-8054D10252B7}</x14:id>
        </ext>
      </extLst>
    </cfRule>
  </conditionalFormatting>
  <conditionalFormatting sqref="K46:K5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{40F370A1-0068-4896-B8BD-0F44F9C5975C}</x14:id>
        </ext>
      </extLst>
    </cfRule>
  </conditionalFormatting>
  <pageMargins left="0.7" right="0.7" top="0.75" bottom="0.75" header="0.3" footer="0.3"/>
  <pageSetup paperSize="9" orientation="portrait" horizontalDpi="12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57FEF81-C171-48CE-BFFD-64EB25B924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C5:C13</xm:sqref>
        </x14:conditionalFormatting>
        <x14:conditionalFormatting xmlns:xm="http://schemas.microsoft.com/office/excel/2006/main">
          <x14:cfRule type="dataBar" id="{AB73D354-ED86-40C0-AC8C-3E260D0105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E5:E13</xm:sqref>
        </x14:conditionalFormatting>
        <x14:conditionalFormatting xmlns:xm="http://schemas.microsoft.com/office/excel/2006/main">
          <x14:cfRule type="dataBar" id="{A3CE3239-10E8-46D5-995D-EBB02EE4ED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G5:G13</xm:sqref>
        </x14:conditionalFormatting>
        <x14:conditionalFormatting xmlns:xm="http://schemas.microsoft.com/office/excel/2006/main">
          <x14:cfRule type="dataBar" id="{BE4D7DD1-11F3-41F4-8108-869B1DC7B4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I5:I13</xm:sqref>
        </x14:conditionalFormatting>
        <x14:conditionalFormatting xmlns:xm="http://schemas.microsoft.com/office/excel/2006/main">
          <x14:cfRule type="dataBar" id="{1397155F-4023-4673-98BD-22A992FFF2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K5:K13</xm:sqref>
        </x14:conditionalFormatting>
        <x14:conditionalFormatting xmlns:xm="http://schemas.microsoft.com/office/excel/2006/main">
          <x14:cfRule type="dataBar" id="{89405929-25B0-44AC-AE48-04526257C1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C17:C24</xm:sqref>
        </x14:conditionalFormatting>
        <x14:conditionalFormatting xmlns:xm="http://schemas.microsoft.com/office/excel/2006/main">
          <x14:cfRule type="dataBar" id="{2AF5D76F-F287-4245-BEA4-9F46E55BFA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E17:E24</xm:sqref>
        </x14:conditionalFormatting>
        <x14:conditionalFormatting xmlns:xm="http://schemas.microsoft.com/office/excel/2006/main">
          <x14:cfRule type="dataBar" id="{09EB264F-C136-4844-91E0-9CA3B25767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G17:G24</xm:sqref>
        </x14:conditionalFormatting>
        <x14:conditionalFormatting xmlns:xm="http://schemas.microsoft.com/office/excel/2006/main">
          <x14:cfRule type="dataBar" id="{07250383-780A-4F46-9485-8F344E12FA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I17:I24</xm:sqref>
        </x14:conditionalFormatting>
        <x14:conditionalFormatting xmlns:xm="http://schemas.microsoft.com/office/excel/2006/main">
          <x14:cfRule type="dataBar" id="{87FFAF55-BFD5-423F-9BC2-A9115920F0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K17:K24</xm:sqref>
        </x14:conditionalFormatting>
        <x14:conditionalFormatting xmlns:xm="http://schemas.microsoft.com/office/excel/2006/main">
          <x14:cfRule type="dataBar" id="{D005EF64-484A-4B08-8E90-901487DD6D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C30:C34</xm:sqref>
        </x14:conditionalFormatting>
        <x14:conditionalFormatting xmlns:xm="http://schemas.microsoft.com/office/excel/2006/main">
          <x14:cfRule type="dataBar" id="{812E8090-395B-4BAF-A3CD-731597FC64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E30:E34</xm:sqref>
        </x14:conditionalFormatting>
        <x14:conditionalFormatting xmlns:xm="http://schemas.microsoft.com/office/excel/2006/main">
          <x14:cfRule type="dataBar" id="{9C089D50-2D06-49FF-8146-873D0B8D5B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G30:G34</xm:sqref>
        </x14:conditionalFormatting>
        <x14:conditionalFormatting xmlns:xm="http://schemas.microsoft.com/office/excel/2006/main">
          <x14:cfRule type="dataBar" id="{153B05BE-69DC-4C4F-8441-2466DE109A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I30:I33</xm:sqref>
        </x14:conditionalFormatting>
        <x14:conditionalFormatting xmlns:xm="http://schemas.microsoft.com/office/excel/2006/main">
          <x14:cfRule type="dataBar" id="{50FE6DF9-8CDF-4326-B119-5C132213A9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K30:K34</xm:sqref>
        </x14:conditionalFormatting>
        <x14:conditionalFormatting xmlns:xm="http://schemas.microsoft.com/office/excel/2006/main">
          <x14:cfRule type="dataBar" id="{3E4E250A-6B84-4861-BA5E-1368AD099C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C38:C42</xm:sqref>
        </x14:conditionalFormatting>
        <x14:conditionalFormatting xmlns:xm="http://schemas.microsoft.com/office/excel/2006/main">
          <x14:cfRule type="dataBar" id="{8B761BDA-D61B-4CDE-9E21-EF7B8B3762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E38:E42</xm:sqref>
        </x14:conditionalFormatting>
        <x14:conditionalFormatting xmlns:xm="http://schemas.microsoft.com/office/excel/2006/main">
          <x14:cfRule type="dataBar" id="{797B15A4-7CF4-4612-A5BB-3A889ED029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G38:G42</xm:sqref>
        </x14:conditionalFormatting>
        <x14:conditionalFormatting xmlns:xm="http://schemas.microsoft.com/office/excel/2006/main">
          <x14:cfRule type="dataBar" id="{A1153824-85C9-4914-A4C5-6D702D8FF3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I38:I42</xm:sqref>
        </x14:conditionalFormatting>
        <x14:conditionalFormatting xmlns:xm="http://schemas.microsoft.com/office/excel/2006/main">
          <x14:cfRule type="dataBar" id="{DAD72401-A29C-45CB-9145-4A1B8DAE57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K38:K42</xm:sqref>
        </x14:conditionalFormatting>
        <x14:conditionalFormatting xmlns:xm="http://schemas.microsoft.com/office/excel/2006/main">
          <x14:cfRule type="dataBar" id="{D8B0FBB1-EE98-4B51-B82E-F11C23D809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C46:C53</xm:sqref>
        </x14:conditionalFormatting>
        <x14:conditionalFormatting xmlns:xm="http://schemas.microsoft.com/office/excel/2006/main">
          <x14:cfRule type="dataBar" id="{7225E17F-7AF4-4527-BA75-7FC5A431C5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E46:E53</xm:sqref>
        </x14:conditionalFormatting>
        <x14:conditionalFormatting xmlns:xm="http://schemas.microsoft.com/office/excel/2006/main">
          <x14:cfRule type="dataBar" id="{6E72791B-0CFE-408C-B2F1-D03ECBA710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G46:G53</xm:sqref>
        </x14:conditionalFormatting>
        <x14:conditionalFormatting xmlns:xm="http://schemas.microsoft.com/office/excel/2006/main">
          <x14:cfRule type="dataBar" id="{48DAC6E8-B840-4AB1-9272-8054D10252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I46:I53</xm:sqref>
        </x14:conditionalFormatting>
        <x14:conditionalFormatting xmlns:xm="http://schemas.microsoft.com/office/excel/2006/main">
          <x14:cfRule type="dataBar" id="{40F370A1-0068-4896-B8BD-0F44F9C597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K46:K53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6C93F93F8E4416429BFC95989228B7D5" ma:contentTypeVersion="5" ma:contentTypeDescription="Создание документа." ma:contentTypeScope="" ma:versionID="0feede81fa07f034a51862d4473ef748">
  <xsd:schema xmlns:xsd="http://www.w3.org/2001/XMLSchema" xmlns:xs="http://www.w3.org/2001/XMLSchema" xmlns:p="http://schemas.microsoft.com/office/2006/metadata/properties" xmlns:ns3="ea25bba2-0aea-4939-910a-1f45fda6beba" xmlns:ns4="e6cb3121-7e84-48ac-82d6-6ad35512c3e6" targetNamespace="http://schemas.microsoft.com/office/2006/metadata/properties" ma:root="true" ma:fieldsID="78f15622346661cab1eef248debae305" ns3:_="" ns4:_="">
    <xsd:import namespace="ea25bba2-0aea-4939-910a-1f45fda6beba"/>
    <xsd:import namespace="e6cb3121-7e84-48ac-82d6-6ad35512c3e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25bba2-0aea-4939-910a-1f45fda6be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cb3121-7e84-48ac-82d6-6ad35512c3e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Хэш подсказки о совместном доступе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AC2AF50-2FC2-4726-AC2A-3008B429B0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25bba2-0aea-4939-910a-1f45fda6beba"/>
    <ds:schemaRef ds:uri="e6cb3121-7e84-48ac-82d6-6ad35512c3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60B7F6-A3E9-4E32-9849-058BD68671E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0432E91-1198-4FF4-B41E-3033457FD1F3}">
  <ds:schemaRefs>
    <ds:schemaRef ds:uri="http://schemas.microsoft.com/office/2006/documentManagement/types"/>
    <ds:schemaRef ds:uri="http://purl.org/dc/terms/"/>
    <ds:schemaRef ds:uri="http://purl.org/dc/dcmitype/"/>
    <ds:schemaRef ds:uri="http://schemas.microsoft.com/office/infopath/2007/PartnerControls"/>
    <ds:schemaRef ds:uri="http://purl.org/dc/elements/1.1/"/>
    <ds:schemaRef ds:uri="e6cb3121-7e84-48ac-82d6-6ad35512c3e6"/>
    <ds:schemaRef ds:uri="http://schemas.openxmlformats.org/package/2006/metadata/core-properties"/>
    <ds:schemaRef ds:uri="ea25bba2-0aea-4939-910a-1f45fda6beba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ОФП и ОПУ</vt:lpstr>
      <vt:lpstr>Ликвидность</vt:lpstr>
      <vt:lpstr>Прибыльность и рентабельность</vt:lpstr>
      <vt:lpstr>Анализ финансовой устойчивости</vt:lpstr>
      <vt:lpstr>Горизонтальный анализ</vt:lpstr>
      <vt:lpstr>Вертикальный анализ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Перепелова Екатерина Сергеевна</dc:creator>
  <cp:keywords/>
  <dc:description/>
  <cp:lastModifiedBy>User</cp:lastModifiedBy>
  <cp:revision/>
  <dcterms:created xsi:type="dcterms:W3CDTF">2020-05-16T14:32:00Z</dcterms:created>
  <dcterms:modified xsi:type="dcterms:W3CDTF">2022-06-05T14:24:56Z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0x0101006C93F93F8E4416429BFC95989228B7D5</vt:lpwstr>
  </property>
</Properties>
</file>