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C58B6E26-2D6F-4D3C-813D-871FDB295322}" xr6:coauthVersionLast="47" xr6:coauthVersionMax="47" xr10:uidLastSave="{00000000-0000-0000-0000-000000000000}"/>
  <bookViews>
    <workbookView xWindow="-28920" yWindow="-3675" windowWidth="29040" windowHeight="15840" xr2:uid="{00000000-000D-0000-FFFF-FFFF00000000}"/>
  </bookViews>
  <sheets>
    <sheet name="INT PALO 8 ONZ" sheetId="28" r:id="rId1"/>
    <sheet name="Hoja1" sheetId="2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28" l="1"/>
  <c r="AB11" i="28"/>
  <c r="AB12" i="28"/>
  <c r="AB13" i="28"/>
  <c r="AB14" i="28"/>
  <c r="AB15" i="28"/>
  <c r="AB16" i="28"/>
  <c r="AB17" i="28"/>
  <c r="AB18" i="28"/>
  <c r="AB19" i="28"/>
  <c r="AB20" i="28"/>
  <c r="AB9" i="28"/>
  <c r="Z10" i="28"/>
  <c r="Z11" i="28"/>
  <c r="Z12" i="28"/>
  <c r="Z13" i="28"/>
  <c r="Z14" i="28"/>
  <c r="Z15" i="28"/>
  <c r="Z16" i="28"/>
  <c r="Z17" i="28"/>
  <c r="Z18" i="28"/>
  <c r="Z19" i="28"/>
  <c r="Z20" i="28"/>
  <c r="Z9" i="28"/>
  <c r="Y10" i="28"/>
  <c r="Y11" i="28"/>
  <c r="Y12" i="28"/>
  <c r="Y13" i="28"/>
  <c r="Y14" i="28"/>
  <c r="Y15" i="28"/>
  <c r="Y16" i="28"/>
  <c r="Y17" i="28"/>
  <c r="Y18" i="28"/>
  <c r="Y19" i="28"/>
  <c r="Y20" i="28"/>
  <c r="Y9" i="28"/>
  <c r="N7" i="28"/>
  <c r="M7" i="28"/>
  <c r="G9" i="28"/>
  <c r="G14" i="28"/>
  <c r="G15" i="28"/>
  <c r="G16" i="28"/>
  <c r="G17" i="28"/>
  <c r="G18" i="28"/>
  <c r="G19" i="28"/>
  <c r="G20" i="28"/>
  <c r="E10" i="28"/>
  <c r="E9" i="28"/>
  <c r="N35" i="28"/>
  <c r="N31" i="28"/>
  <c r="K10" i="29"/>
  <c r="J10" i="29"/>
  <c r="F10" i="29"/>
  <c r="H25" i="28" l="1"/>
  <c r="G25" i="28"/>
  <c r="H24" i="28"/>
  <c r="G24" i="28"/>
  <c r="H23" i="28"/>
  <c r="G23" i="28"/>
  <c r="H21" i="28"/>
  <c r="E19" i="28"/>
  <c r="E18" i="28"/>
  <c r="E17" i="28"/>
  <c r="E16" i="28"/>
  <c r="H16" i="28" s="1"/>
  <c r="E15" i="28"/>
  <c r="H14" i="28"/>
  <c r="G13" i="28"/>
  <c r="G12" i="28"/>
  <c r="G11" i="28"/>
  <c r="G10" i="28"/>
  <c r="W7" i="28"/>
  <c r="W25" i="28" s="1"/>
  <c r="V7" i="28"/>
  <c r="U7" i="28"/>
  <c r="T7" i="28"/>
  <c r="T24" i="28" s="1"/>
  <c r="R7" i="28"/>
  <c r="R25" i="28" s="1"/>
  <c r="H7" i="28"/>
  <c r="Q5" i="28"/>
  <c r="Q7" i="28" s="1"/>
  <c r="Q4" i="28" s="1"/>
  <c r="P5" i="28"/>
  <c r="P7" i="28" s="1"/>
  <c r="P4" i="28" s="1"/>
  <c r="S4" i="28"/>
  <c r="S7" i="28" s="1"/>
  <c r="S24" i="28" s="1"/>
  <c r="P2" i="28"/>
  <c r="U1" i="28"/>
  <c r="I10" i="28" l="1"/>
  <c r="H18" i="28"/>
  <c r="H15" i="28"/>
  <c r="W24" i="28"/>
  <c r="H17" i="28"/>
  <c r="T1" i="28"/>
  <c r="V23" i="28"/>
  <c r="G22" i="28"/>
  <c r="H19" i="28"/>
  <c r="W23" i="28"/>
  <c r="U23" i="28"/>
  <c r="U5" i="28" s="1"/>
  <c r="R24" i="28"/>
  <c r="U24" i="28"/>
  <c r="R23" i="28"/>
  <c r="V24" i="28"/>
  <c r="S25" i="28"/>
  <c r="T25" i="28"/>
  <c r="S23" i="28"/>
  <c r="U25" i="28"/>
  <c r="T23" i="28"/>
  <c r="V25" i="28"/>
  <c r="V5" i="28" s="1"/>
  <c r="N10" i="28" l="1"/>
  <c r="K10" i="28"/>
  <c r="J10" i="28"/>
  <c r="M10" i="28"/>
  <c r="I17" i="28"/>
  <c r="I14" i="28"/>
  <c r="I18" i="28"/>
  <c r="I16" i="28"/>
  <c r="I11" i="28"/>
  <c r="I15" i="28"/>
  <c r="I19" i="28"/>
  <c r="I12" i="28"/>
  <c r="I20" i="28"/>
  <c r="I13" i="28"/>
  <c r="H5" i="28"/>
  <c r="R5" i="28"/>
  <c r="W5" i="28"/>
  <c r="I9" i="28"/>
  <c r="S5" i="28"/>
  <c r="T5" i="28"/>
  <c r="J16" i="28" l="1"/>
  <c r="N16" i="28"/>
  <c r="K16" i="28"/>
  <c r="M16" i="28"/>
  <c r="N19" i="28"/>
  <c r="J19" i="28"/>
  <c r="K19" i="28"/>
  <c r="L19" i="28" s="1"/>
  <c r="X19" i="28" s="1"/>
  <c r="M19" i="28"/>
  <c r="K18" i="28"/>
  <c r="N18" i="28"/>
  <c r="J18" i="28"/>
  <c r="L18" i="28" s="1"/>
  <c r="X18" i="28" s="1"/>
  <c r="M18" i="28"/>
  <c r="J9" i="28"/>
  <c r="K9" i="28"/>
  <c r="N9" i="28"/>
  <c r="M9" i="28"/>
  <c r="J13" i="28"/>
  <c r="N13" i="28"/>
  <c r="K13" i="28"/>
  <c r="M13" i="28"/>
  <c r="N15" i="28"/>
  <c r="K15" i="28"/>
  <c r="J15" i="28"/>
  <c r="M15" i="28"/>
  <c r="K14" i="28"/>
  <c r="J14" i="28"/>
  <c r="N14" i="28"/>
  <c r="M14" i="28"/>
  <c r="K12" i="28"/>
  <c r="N12" i="28"/>
  <c r="J12" i="28"/>
  <c r="M12" i="28"/>
  <c r="K20" i="28"/>
  <c r="J20" i="28"/>
  <c r="N20" i="28"/>
  <c r="M20" i="28"/>
  <c r="X20" i="28" s="1"/>
  <c r="N11" i="28"/>
  <c r="J11" i="28"/>
  <c r="K11" i="28"/>
  <c r="M11" i="28"/>
  <c r="J17" i="28"/>
  <c r="N17" i="28"/>
  <c r="M17" i="28"/>
  <c r="K17" i="28"/>
  <c r="L17" i="28" s="1"/>
  <c r="X17" i="28" s="1"/>
  <c r="L16" i="28"/>
  <c r="I22" i="28"/>
  <c r="L10" i="28"/>
  <c r="X10" i="28" s="1"/>
  <c r="L14" i="28"/>
  <c r="X14" i="28" l="1"/>
  <c r="X16" i="28"/>
  <c r="L15" i="28"/>
  <c r="L13" i="28"/>
  <c r="X13" i="28" s="1"/>
  <c r="L11" i="28"/>
  <c r="J22" i="28"/>
  <c r="L12" i="28"/>
  <c r="L9" i="28"/>
  <c r="M22" i="28"/>
  <c r="N22" i="28"/>
  <c r="X11" i="28" l="1"/>
  <c r="X15" i="28"/>
  <c r="X9" i="28"/>
  <c r="X12" i="28"/>
  <c r="L22" i="28"/>
  <c r="N30" i="28" s="1"/>
  <c r="X30" i="28" s="1"/>
  <c r="Y30" i="28" s="1"/>
  <c r="Z2" i="28" s="1"/>
  <c r="N32" i="28" l="1"/>
  <c r="X65" i="28"/>
  <c r="X5" i="28" s="1"/>
</calcChain>
</file>

<file path=xl/sharedStrings.xml><?xml version="1.0" encoding="utf-8"?>
<sst xmlns="http://schemas.openxmlformats.org/spreadsheetml/2006/main" count="102" uniqueCount="91">
  <si>
    <t>Pedido No.</t>
  </si>
  <si>
    <t>Fact Ag</t>
  </si>
  <si>
    <t>TOTAL IVA</t>
  </si>
  <si>
    <t>Orden de compra</t>
  </si>
  <si>
    <t>IMPUESTOS</t>
  </si>
  <si>
    <t>CARTA PORTE  #</t>
  </si>
  <si>
    <t>Fecha arribo CR</t>
  </si>
  <si>
    <t>Almac. fiscal</t>
  </si>
  <si>
    <t>T.C. EUR</t>
  </si>
  <si>
    <t>Verifica -&gt;</t>
  </si>
  <si>
    <t>Tramite Aduana</t>
  </si>
  <si>
    <t>DUA</t>
  </si>
  <si>
    <t>Costo Fabrica EUR</t>
  </si>
  <si>
    <t>No. Factura</t>
  </si>
  <si>
    <t>Modelo mercancía</t>
  </si>
  <si>
    <t>Descripción</t>
  </si>
  <si>
    <t>Cantidad</t>
  </si>
  <si>
    <t>Flete interno y gastos $</t>
  </si>
  <si>
    <t>Flete maritimo o aereo $</t>
  </si>
  <si>
    <t>Transporte Costa Rica</t>
  </si>
  <si>
    <t>%</t>
  </si>
  <si>
    <t>IVA NAC</t>
  </si>
  <si>
    <t>Bodegajes $</t>
  </si>
  <si>
    <t>Tramites Aduaneros</t>
  </si>
  <si>
    <t>IVA  Gasto Ag. Ad</t>
  </si>
  <si>
    <t>Permisos</t>
  </si>
  <si>
    <t>Financiamiento</t>
  </si>
  <si>
    <t>Otros Fletes</t>
  </si>
  <si>
    <t>Costo +IVA Aprox</t>
  </si>
  <si>
    <t>Totales</t>
  </si>
  <si>
    <t>URNA PARA CAFÉ</t>
  </si>
  <si>
    <t>$4,946.83</t>
  </si>
  <si>
    <t>FLETE $</t>
  </si>
  <si>
    <t>CANTIDAD</t>
  </si>
  <si>
    <t>PRODUCTO</t>
  </si>
  <si>
    <t>MODELO</t>
  </si>
  <si>
    <t>PRECIO $</t>
  </si>
  <si>
    <t>DIMENSIONES METROS</t>
  </si>
  <si>
    <t>VOLUMEN M3</t>
  </si>
  <si>
    <t>PESO KG</t>
  </si>
  <si>
    <t>SOCIACO</t>
  </si>
  <si>
    <t>NET LOGISTIC</t>
  </si>
  <si>
    <t>MONTECRISTO</t>
  </si>
  <si>
    <t>U3 120/208V</t>
  </si>
  <si>
    <t>SUPLIDOR ENTREGE  EN CONSOLIDADOR CARGA</t>
  </si>
  <si>
    <t>78.0 cm</t>
  </si>
  <si>
    <t>67.4 cm</t>
  </si>
  <si>
    <t>92.7 cm</t>
  </si>
  <si>
    <t>45.405</t>
  </si>
  <si>
    <t>Factura 1 proveedor X</t>
  </si>
  <si>
    <t>Factura 2 proveedor X</t>
  </si>
  <si>
    <t>Factura 1 proveedor Y</t>
  </si>
  <si>
    <t>Factura 1 proveedor N</t>
  </si>
  <si>
    <t>qweqw1</t>
  </si>
  <si>
    <t>234cc</t>
  </si>
  <si>
    <t>CCFRT123</t>
  </si>
  <si>
    <t>12dd</t>
  </si>
  <si>
    <t>asdasdee2221</t>
  </si>
  <si>
    <t>Maquina 1</t>
  </si>
  <si>
    <t>Maquina 2</t>
  </si>
  <si>
    <t>Maquina 5</t>
  </si>
  <si>
    <t>Maquina 6</t>
  </si>
  <si>
    <t>Maquina 7</t>
  </si>
  <si>
    <t>Maquina 8</t>
  </si>
  <si>
    <t>Maquina 9</t>
  </si>
  <si>
    <t>Maquina 10</t>
  </si>
  <si>
    <t>Maquina 11</t>
  </si>
  <si>
    <t>Maquina 12</t>
  </si>
  <si>
    <t>T.C. USD</t>
  </si>
  <si>
    <t>Repuesto 3</t>
  </si>
  <si>
    <t>Repuest0 4</t>
  </si>
  <si>
    <t>Costo unitario Fabrica $</t>
  </si>
  <si>
    <t>Valor total linea en $</t>
  </si>
  <si>
    <t>% de peso porcentual de linea en total de sumantoria de facturas</t>
  </si>
  <si>
    <t>Proveedor 1+ Proveedor 2+ prveedor 3 ETC</t>
  </si>
  <si>
    <t>Indicar ordenes</t>
  </si>
  <si>
    <t>Documentos que acompañan importación</t>
  </si>
  <si>
    <t>Fecha que llega a CR</t>
  </si>
  <si>
    <t>Nombre de Almacen Fiscal</t>
  </si>
  <si>
    <t>Documento de impuesto</t>
  </si>
  <si>
    <t>Monto costo Flete En pais de origen</t>
  </si>
  <si>
    <t>Monto costo Flete envio a CR</t>
  </si>
  <si>
    <t>Valor CIF $ Aduanero Sumatoria de Columna E+I+J+K</t>
  </si>
  <si>
    <t>Costo que cobra la aduana por tramite</t>
  </si>
  <si>
    <t xml:space="preserve">Impuestos pagados en aduana CR </t>
  </si>
  <si>
    <t>Paso a $ ==&gt;</t>
  </si>
  <si>
    <t xml:space="preserve">Cobro en Colones ==&gt; </t>
  </si>
  <si>
    <t>COSTO CR Sumatoria Columna L+M+N</t>
  </si>
  <si>
    <t>Costo Unitario por linea</t>
  </si>
  <si>
    <t>Utilidad Deseada</t>
  </si>
  <si>
    <t>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</si>
</sst>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₡&quot;* #,##0.00_-;\-&quot;₡&quot;* #,##0.00_-;_-&quot;₡&quot;* &quot;-&quot;??_-;_-@_-"/>
    <numFmt numFmtId="164" formatCode="_(* #,##0.00_);_(* \(#,##0.00\);_(* &quot;-&quot;??_);_(@_)"/>
    <numFmt numFmtId="165" formatCode="[$-409]d\-mmm\-yy;@"/>
    <numFmt numFmtId="166" formatCode="[$$-409]#,##0.00"/>
    <numFmt numFmtId="167" formatCode="&quot;$&quot;\ #,##0.00"/>
    <numFmt numFmtId="168" formatCode="[$₡-140A]#,##0.00"/>
    <numFmt numFmtId="169" formatCode="#,##0.000"/>
  </numFmts>
  <fonts count="13">
    <font>
      <sz val="10"/>
      <color rgb="FF000000"/>
      <name val="Arial"/>
      <charset val="134"/>
    </font>
    <font>
      <sz val="10"/>
      <color indexed="8"/>
      <name val="Arial"/>
      <charset val="134"/>
    </font>
    <font>
      <sz val="9"/>
      <color indexed="8"/>
      <name val="Arial"/>
      <charset val="134"/>
    </font>
    <font>
      <sz val="11"/>
      <color indexed="8"/>
      <name val="Calibri"/>
      <charset val="134"/>
    </font>
    <font>
      <sz val="9"/>
      <color indexed="8"/>
      <name val="Calibri"/>
      <charset val="134"/>
    </font>
    <font>
      <sz val="10"/>
      <color indexed="8"/>
      <name val="Calibri"/>
      <charset val="134"/>
    </font>
    <font>
      <b/>
      <sz val="10"/>
      <color indexed="8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134"/>
    </font>
    <font>
      <b/>
      <sz val="11"/>
      <name val="Calibri"/>
      <charset val="134"/>
    </font>
    <font>
      <sz val="11"/>
      <name val="Calibri"/>
      <charset val="134"/>
    </font>
    <font>
      <sz val="12"/>
      <name val="Calibri"/>
      <charset val="134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7680593279824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wrapText="1"/>
    </xf>
    <xf numFmtId="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3" fillId="0" borderId="3" xfId="0" applyNumberFormat="1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4" fontId="1" fillId="0" borderId="4" xfId="0" applyNumberFormat="1" applyFont="1" applyBorder="1" applyAlignment="1">
      <alignment wrapText="1"/>
    </xf>
    <xf numFmtId="164" fontId="3" fillId="0" borderId="3" xfId="2" applyFont="1" applyBorder="1" applyAlignment="1">
      <alignment wrapText="1"/>
    </xf>
    <xf numFmtId="164" fontId="3" fillId="0" borderId="4" xfId="2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166" fontId="1" fillId="0" borderId="4" xfId="0" applyNumberFormat="1" applyFont="1" applyBorder="1" applyAlignment="1">
      <alignment wrapText="1"/>
    </xf>
    <xf numFmtId="0" fontId="3" fillId="0" borderId="4" xfId="0" applyFont="1" applyBorder="1" applyAlignment="1">
      <alignment wrapText="1"/>
    </xf>
    <xf numFmtId="166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167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8" fontId="1" fillId="2" borderId="0" xfId="0" applyNumberFormat="1" applyFont="1" applyFill="1" applyAlignment="1">
      <alignment horizontal="left" wrapText="1"/>
    </xf>
    <xf numFmtId="167" fontId="1" fillId="0" borderId="0" xfId="0" applyNumberFormat="1" applyFont="1" applyAlignment="1">
      <alignment horizontal="center" wrapText="1"/>
    </xf>
    <xf numFmtId="167" fontId="6" fillId="2" borderId="0" xfId="0" applyNumberFormat="1" applyFont="1" applyFill="1" applyAlignment="1">
      <alignment horizontal="center" wrapText="1"/>
    </xf>
    <xf numFmtId="4" fontId="1" fillId="0" borderId="1" xfId="0" applyNumberFormat="1" applyFont="1" applyBorder="1" applyAlignment="1">
      <alignment horizontal="right" wrapText="1"/>
    </xf>
    <xf numFmtId="10" fontId="1" fillId="0" borderId="4" xfId="1" applyNumberFormat="1" applyFont="1" applyBorder="1" applyAlignment="1">
      <alignment wrapText="1"/>
    </xf>
    <xf numFmtId="169" fontId="1" fillId="0" borderId="4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9" fontId="1" fillId="0" borderId="4" xfId="1" applyFont="1" applyBorder="1" applyAlignment="1">
      <alignment wrapText="1"/>
    </xf>
    <xf numFmtId="167" fontId="0" fillId="0" borderId="0" xfId="0" applyNumberFormat="1" applyAlignment="1">
      <alignment wrapText="1"/>
    </xf>
    <xf numFmtId="10" fontId="0" fillId="0" borderId="0" xfId="1" applyNumberFormat="1" applyFont="1" applyAlignment="1">
      <alignment wrapText="1"/>
    </xf>
    <xf numFmtId="4" fontId="1" fillId="0" borderId="2" xfId="0" applyNumberFormat="1" applyFont="1" applyBorder="1" applyAlignment="1">
      <alignment wrapText="1"/>
    </xf>
    <xf numFmtId="0" fontId="0" fillId="0" borderId="0" xfId="0"/>
    <xf numFmtId="14" fontId="0" fillId="0" borderId="0" xfId="0" applyNumberFormat="1"/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10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vertical="distributed"/>
    </xf>
    <xf numFmtId="0" fontId="0" fillId="4" borderId="2" xfId="0" applyFill="1" applyBorder="1"/>
    <xf numFmtId="4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168" fontId="1" fillId="2" borderId="0" xfId="0" applyNumberFormat="1" applyFont="1" applyFill="1" applyAlignment="1">
      <alignment horizontal="left" wrapText="1"/>
    </xf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168" fontId="1" fillId="0" borderId="0" xfId="0" applyNumberFormat="1" applyFont="1" applyAlignment="1">
      <alignment wrapText="1"/>
    </xf>
    <xf numFmtId="44" fontId="0" fillId="0" borderId="0" xfId="3" applyFont="1" applyAlignment="1">
      <alignment wrapText="1"/>
    </xf>
    <xf numFmtId="9" fontId="1" fillId="0" borderId="4" xfId="1" applyFont="1" applyBorder="1" applyAlignment="1">
      <alignment horizontal="center" wrapText="1"/>
    </xf>
  </cellXfs>
  <cellStyles count="4">
    <cellStyle name="Millares 2" xfId="2" xr:uid="{00000000-0005-0000-0000-000031000000}"/>
    <cellStyle name="Moneda" xfId="3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tabSelected="1" topLeftCell="C1" workbookViewId="0">
      <selection activeCell="AB9" sqref="AB9:AB20"/>
    </sheetView>
  </sheetViews>
  <sheetFormatPr baseColWidth="10" defaultColWidth="17.140625" defaultRowHeight="12.75"/>
  <cols>
    <col min="1" max="1" width="11.5703125" customWidth="1"/>
    <col min="2" max="2" width="16.42578125" customWidth="1"/>
    <col min="3" max="3" width="16.5703125" customWidth="1"/>
    <col min="4" max="4" width="22.28515625" customWidth="1"/>
    <col min="5" max="5" width="15" customWidth="1"/>
    <col min="6" max="6" width="11.42578125" customWidth="1"/>
    <col min="7" max="7" width="11.140625" customWidth="1"/>
    <col min="8" max="8" width="15.140625" customWidth="1"/>
    <col min="9" max="9" width="14.5703125" customWidth="1"/>
    <col min="10" max="10" width="11.28515625" customWidth="1"/>
    <col min="11" max="11" width="12.5703125" customWidth="1"/>
    <col min="12" max="12" width="13" customWidth="1"/>
    <col min="13" max="14" width="13.28515625" customWidth="1"/>
    <col min="15" max="15" width="4.28515625" customWidth="1"/>
    <col min="16" max="16" width="11.85546875" hidden="1" customWidth="1"/>
    <col min="17" max="17" width="10.5703125" hidden="1" customWidth="1"/>
    <col min="18" max="18" width="9.140625" hidden="1" customWidth="1"/>
    <col min="19" max="19" width="10.140625" hidden="1" customWidth="1"/>
    <col min="20" max="20" width="13.5703125" hidden="1" customWidth="1"/>
    <col min="21" max="21" width="9.140625" hidden="1" customWidth="1"/>
    <col min="22" max="22" width="12.5703125" hidden="1" customWidth="1"/>
    <col min="23" max="23" width="6.5703125" hidden="1" customWidth="1"/>
    <col min="24" max="24" width="12.85546875" customWidth="1"/>
    <col min="25" max="25" width="11.140625" customWidth="1"/>
    <col min="26" max="26" width="11.7109375" customWidth="1"/>
  </cols>
  <sheetData>
    <row r="1" spans="1:28" ht="25.5">
      <c r="A1" s="1"/>
      <c r="B1" s="56" t="s">
        <v>0</v>
      </c>
      <c r="C1" s="56"/>
      <c r="D1" s="5" t="s">
        <v>74</v>
      </c>
      <c r="E1" s="1"/>
      <c r="F1" s="1"/>
      <c r="G1" s="1"/>
      <c r="H1" s="1"/>
      <c r="I1" s="1"/>
      <c r="J1" s="1"/>
      <c r="K1" s="2"/>
      <c r="L1" s="26"/>
      <c r="M1" s="26"/>
      <c r="N1" s="1"/>
      <c r="O1" s="1"/>
      <c r="P1" s="4"/>
      <c r="Q1" s="1"/>
      <c r="R1" s="1"/>
      <c r="S1" s="1" t="s">
        <v>1</v>
      </c>
      <c r="T1" s="3">
        <f>(((((P4+Q4)+R4)+S4)+T4)+U4)+V4</f>
        <v>447283.85</v>
      </c>
      <c r="U1" s="1" t="e">
        <f>SUM(((((((#REF!+#REF!)+E21)+E22)+E23)+E24)+E25))</f>
        <v>#REF!</v>
      </c>
      <c r="V1" s="1"/>
      <c r="W1" s="1"/>
      <c r="X1" s="1"/>
      <c r="Y1" s="1" t="s">
        <v>2</v>
      </c>
      <c r="Z1" s="1"/>
    </row>
    <row r="2" spans="1:28" ht="25.5">
      <c r="A2" s="1"/>
      <c r="B2" s="56" t="s">
        <v>3</v>
      </c>
      <c r="C2" s="56"/>
      <c r="D2" s="5" t="s">
        <v>75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>
        <f>(629096.43+287479.07)+69589.29</f>
        <v>986164.79</v>
      </c>
      <c r="Q2" s="1">
        <v>1032862.35</v>
      </c>
      <c r="R2" s="1"/>
      <c r="S2" s="1"/>
      <c r="T2" s="1"/>
      <c r="U2" s="1"/>
      <c r="V2" s="1"/>
      <c r="W2" s="1"/>
      <c r="X2" s="1"/>
      <c r="Y2" s="1" t="s">
        <v>4</v>
      </c>
      <c r="Z2" s="28">
        <f>+Y30</f>
        <v>1286018.8716135805</v>
      </c>
    </row>
    <row r="3" spans="1:28" ht="25.5">
      <c r="A3" s="1"/>
      <c r="B3" s="56" t="s">
        <v>5</v>
      </c>
      <c r="C3" s="56"/>
      <c r="D3" s="5" t="s">
        <v>76</v>
      </c>
      <c r="E3" s="1"/>
      <c r="F3" s="1"/>
      <c r="G3" s="1"/>
      <c r="H3" s="1"/>
      <c r="I3" s="1"/>
      <c r="J3" s="1"/>
      <c r="K3" s="1"/>
      <c r="L3" s="27"/>
      <c r="M3" s="27"/>
      <c r="N3" s="1"/>
      <c r="O3" s="1"/>
      <c r="P3" s="4"/>
      <c r="Q3" s="1"/>
      <c r="R3" s="1"/>
      <c r="S3" s="1"/>
      <c r="T3" s="1"/>
      <c r="U3" s="1"/>
      <c r="V3" s="56"/>
      <c r="W3" s="56"/>
      <c r="X3" s="1"/>
      <c r="Y3" s="1"/>
      <c r="Z3" s="1"/>
    </row>
    <row r="4" spans="1:28">
      <c r="A4" s="1"/>
      <c r="B4" s="56" t="s">
        <v>6</v>
      </c>
      <c r="C4" s="56"/>
      <c r="D4" s="62" t="s">
        <v>77</v>
      </c>
      <c r="E4" s="3"/>
      <c r="F4" s="1"/>
      <c r="G4" s="1"/>
      <c r="H4" s="1"/>
      <c r="I4" s="1"/>
      <c r="J4" s="1"/>
      <c r="K4" s="1"/>
      <c r="L4" s="3"/>
      <c r="M4" s="3"/>
      <c r="N4" s="1"/>
      <c r="O4" s="1"/>
      <c r="P4" s="4">
        <f>P7*F7</f>
        <v>0</v>
      </c>
      <c r="Q4" s="3">
        <f>F7*Q7</f>
        <v>0</v>
      </c>
      <c r="R4" s="3">
        <v>58375</v>
      </c>
      <c r="S4" s="3">
        <f>((((5500+1512.95)+82)+7565.68)+17651.2)+152808.94</f>
        <v>185120.77000000002</v>
      </c>
      <c r="T4" s="3">
        <v>19855.16</v>
      </c>
      <c r="U4" s="3">
        <v>10087.6</v>
      </c>
      <c r="V4" s="3">
        <v>173845.32</v>
      </c>
      <c r="W4" s="1"/>
      <c r="X4" s="1"/>
      <c r="Y4" s="1"/>
      <c r="Z4" s="1"/>
    </row>
    <row r="5" spans="1:28" ht="51">
      <c r="A5" s="1"/>
      <c r="B5" s="56" t="s">
        <v>7</v>
      </c>
      <c r="C5" s="56"/>
      <c r="D5" s="5" t="s">
        <v>78</v>
      </c>
      <c r="E5" s="4" t="s">
        <v>8</v>
      </c>
      <c r="F5" s="1">
        <v>1.1000000000000001</v>
      </c>
      <c r="G5" s="2" t="s">
        <v>9</v>
      </c>
      <c r="H5" s="3">
        <f>SUM(H9:H22)</f>
        <v>0</v>
      </c>
      <c r="I5" s="3"/>
      <c r="J5" s="26" t="s">
        <v>80</v>
      </c>
      <c r="K5" s="26" t="s">
        <v>81</v>
      </c>
      <c r="L5" s="26"/>
      <c r="M5" s="26" t="s">
        <v>83</v>
      </c>
      <c r="N5" s="1" t="s">
        <v>84</v>
      </c>
      <c r="O5" s="1"/>
      <c r="P5" s="4">
        <f>SUM(P9:P126)</f>
        <v>0</v>
      </c>
      <c r="Q5" s="3">
        <f t="shared" ref="Q5:X5" si="0">SUM(Q9:Q116)</f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 t="e">
        <f t="shared" si="0"/>
        <v>#REF!</v>
      </c>
      <c r="V5" s="3">
        <f t="shared" si="0"/>
        <v>0</v>
      </c>
      <c r="W5" s="3">
        <f t="shared" si="0"/>
        <v>0</v>
      </c>
      <c r="X5" s="3">
        <f t="shared" si="0"/>
        <v>22501.701871701429</v>
      </c>
      <c r="Y5" s="1"/>
      <c r="Z5" s="1"/>
    </row>
    <row r="6" spans="1:28" ht="25.5">
      <c r="A6" s="1"/>
      <c r="B6" s="5" t="s">
        <v>11</v>
      </c>
      <c r="C6" s="1"/>
      <c r="D6" s="61" t="s">
        <v>79</v>
      </c>
      <c r="E6" s="4"/>
      <c r="F6" s="1"/>
      <c r="G6" s="2"/>
      <c r="H6" s="3"/>
      <c r="I6" s="3"/>
      <c r="J6" s="26">
        <v>1000</v>
      </c>
      <c r="K6" s="63">
        <v>1500</v>
      </c>
      <c r="L6" s="63" t="s">
        <v>86</v>
      </c>
      <c r="M6" s="64">
        <v>152000</v>
      </c>
      <c r="N6" s="64">
        <v>852000</v>
      </c>
      <c r="O6" s="1"/>
      <c r="P6" s="4"/>
      <c r="Q6" s="3"/>
      <c r="R6" s="3"/>
      <c r="S6" s="3"/>
      <c r="T6" s="3"/>
      <c r="U6" s="3"/>
      <c r="V6" s="3"/>
      <c r="W6" s="3"/>
      <c r="X6" s="3"/>
      <c r="Y6" s="1"/>
      <c r="Z6" s="1"/>
    </row>
    <row r="7" spans="1:28">
      <c r="A7" s="1"/>
      <c r="B7" s="56"/>
      <c r="C7" s="57"/>
      <c r="D7" s="6">
        <v>0</v>
      </c>
      <c r="E7" s="4" t="s">
        <v>68</v>
      </c>
      <c r="F7" s="3">
        <v>510</v>
      </c>
      <c r="G7" s="7">
        <v>1</v>
      </c>
      <c r="H7" s="3">
        <f>G7*F7</f>
        <v>510</v>
      </c>
      <c r="I7" s="3"/>
      <c r="J7" s="29"/>
      <c r="K7" s="30"/>
      <c r="L7" s="26" t="s">
        <v>85</v>
      </c>
      <c r="M7" s="26">
        <f>+M6/F7</f>
        <v>298.03921568627453</v>
      </c>
      <c r="N7" s="26">
        <f>+N6/F7</f>
        <v>1670.5882352941176</v>
      </c>
      <c r="O7" s="3"/>
      <c r="P7" s="3">
        <f>P5</f>
        <v>0</v>
      </c>
      <c r="Q7" s="3">
        <f>Q5</f>
        <v>0</v>
      </c>
      <c r="R7" s="3">
        <f>R4/F7</f>
        <v>114.46078431372548</v>
      </c>
      <c r="S7" s="3">
        <f>S4/F7</f>
        <v>362.98190196078434</v>
      </c>
      <c r="T7" s="3">
        <f>T4/F7</f>
        <v>38.931686274509801</v>
      </c>
      <c r="U7" s="3">
        <f>U4/F7</f>
        <v>19.779607843137256</v>
      </c>
      <c r="V7" s="3">
        <f>V4/F7</f>
        <v>340.87317647058825</v>
      </c>
      <c r="W7" s="3">
        <f>260+80</f>
        <v>340</v>
      </c>
      <c r="X7" s="3"/>
      <c r="Y7" s="3"/>
      <c r="Z7" s="3"/>
    </row>
    <row r="8" spans="1:28" ht="63.75">
      <c r="A8" s="8" t="s">
        <v>12</v>
      </c>
      <c r="B8" s="9" t="s">
        <v>13</v>
      </c>
      <c r="C8" s="10" t="s">
        <v>14</v>
      </c>
      <c r="D8" s="11" t="s">
        <v>15</v>
      </c>
      <c r="E8" s="12" t="s">
        <v>71</v>
      </c>
      <c r="F8" s="11" t="s">
        <v>16</v>
      </c>
      <c r="G8" s="11" t="s">
        <v>72</v>
      </c>
      <c r="H8" s="13"/>
      <c r="I8" s="11" t="s">
        <v>73</v>
      </c>
      <c r="J8" s="11" t="s">
        <v>17</v>
      </c>
      <c r="K8" s="11" t="s">
        <v>18</v>
      </c>
      <c r="L8" s="11" t="s">
        <v>82</v>
      </c>
      <c r="M8" s="11" t="s">
        <v>10</v>
      </c>
      <c r="N8" s="11" t="s">
        <v>19</v>
      </c>
      <c r="O8" s="13" t="s">
        <v>20</v>
      </c>
      <c r="P8" s="31" t="s">
        <v>4</v>
      </c>
      <c r="Q8" s="13" t="s">
        <v>21</v>
      </c>
      <c r="R8" s="13" t="s">
        <v>22</v>
      </c>
      <c r="S8" s="13" t="s">
        <v>23</v>
      </c>
      <c r="T8" s="13" t="s">
        <v>24</v>
      </c>
      <c r="U8" s="13" t="s">
        <v>25</v>
      </c>
      <c r="V8" s="13" t="s">
        <v>26</v>
      </c>
      <c r="W8" s="13" t="s">
        <v>27</v>
      </c>
      <c r="X8" s="11" t="s">
        <v>87</v>
      </c>
      <c r="Y8" s="11" t="s">
        <v>88</v>
      </c>
      <c r="Z8" s="11" t="s">
        <v>28</v>
      </c>
      <c r="AA8" s="11" t="s">
        <v>89</v>
      </c>
      <c r="AB8" s="11" t="s">
        <v>90</v>
      </c>
    </row>
    <row r="9" spans="1:28" ht="30">
      <c r="A9" s="14">
        <v>1000</v>
      </c>
      <c r="B9" s="15" t="s">
        <v>49</v>
      </c>
      <c r="C9" s="16">
        <v>1234</v>
      </c>
      <c r="D9" s="17" t="s">
        <v>58</v>
      </c>
      <c r="E9" s="53">
        <f>+A9*F5</f>
        <v>1100</v>
      </c>
      <c r="F9" s="54">
        <v>2</v>
      </c>
      <c r="G9" s="38">
        <f>+F9*E9</f>
        <v>2200</v>
      </c>
      <c r="H9" s="18"/>
      <c r="I9" s="32">
        <f t="shared" ref="I9:I20" si="1">+G9/$G$22</f>
        <v>0.12833975032084938</v>
      </c>
      <c r="J9" s="18">
        <f>+I9*$J$6</f>
        <v>128.33975032084939</v>
      </c>
      <c r="K9" s="18">
        <f>+I9*$K$6</f>
        <v>192.50962548127407</v>
      </c>
      <c r="L9" s="18">
        <f t="shared" ref="L9:L19" si="2">+G9+J9+K9</f>
        <v>2520.8493758021236</v>
      </c>
      <c r="M9" s="18">
        <f>+$M$7*I9</f>
        <v>38.250278526998251</v>
      </c>
      <c r="N9" s="18">
        <f>+I9*$N$7</f>
        <v>214.40287700659542</v>
      </c>
      <c r="O9" s="33"/>
      <c r="P9" s="34"/>
      <c r="Q9" s="34"/>
      <c r="R9" s="18"/>
      <c r="S9" s="18"/>
      <c r="T9" s="18"/>
      <c r="U9" s="18"/>
      <c r="V9" s="18"/>
      <c r="W9" s="18"/>
      <c r="X9" s="18">
        <f>+L9+M9+N9</f>
        <v>2773.5025313357173</v>
      </c>
      <c r="Y9" s="18">
        <f>+X9/F9</f>
        <v>1386.7512656678587</v>
      </c>
      <c r="Z9" s="18">
        <f>+Y9*1.13</f>
        <v>1567.0289302046801</v>
      </c>
      <c r="AA9" s="65">
        <v>0.4</v>
      </c>
      <c r="AB9" s="18">
        <f>+Z9*AA9+Z9</f>
        <v>2193.8405022865522</v>
      </c>
    </row>
    <row r="10" spans="1:28" ht="30">
      <c r="A10" s="19">
        <v>1500</v>
      </c>
      <c r="B10" s="15" t="s">
        <v>49</v>
      </c>
      <c r="C10" s="16" t="s">
        <v>53</v>
      </c>
      <c r="D10" s="17" t="s">
        <v>59</v>
      </c>
      <c r="E10" s="53">
        <f>+A10*F5</f>
        <v>1650.0000000000002</v>
      </c>
      <c r="F10" s="54">
        <v>1</v>
      </c>
      <c r="G10" s="38">
        <f>+F10*E10</f>
        <v>1650.0000000000002</v>
      </c>
      <c r="H10" s="18"/>
      <c r="I10" s="32">
        <f t="shared" si="1"/>
        <v>9.6254812740637047E-2</v>
      </c>
      <c r="J10" s="18">
        <f t="shared" ref="J10:J20" si="3">+I10*$J$6</f>
        <v>96.25481274063705</v>
      </c>
      <c r="K10" s="18">
        <f t="shared" ref="K10:K20" si="4">+I10*$K$6</f>
        <v>144.38221911095556</v>
      </c>
      <c r="L10" s="18">
        <f t="shared" si="2"/>
        <v>1890.6370318515928</v>
      </c>
      <c r="M10" s="18">
        <f>+$M$7*I10</f>
        <v>28.68770889524869</v>
      </c>
      <c r="N10" s="18">
        <f t="shared" ref="N10:N20" si="5">+I10*$N$7</f>
        <v>160.80215775494659</v>
      </c>
      <c r="O10" s="33"/>
      <c r="P10" s="34"/>
      <c r="Q10" s="34"/>
      <c r="R10" s="18"/>
      <c r="S10" s="18"/>
      <c r="T10" s="18"/>
      <c r="U10" s="18"/>
      <c r="V10" s="18"/>
      <c r="W10" s="18"/>
      <c r="X10" s="18">
        <f t="shared" ref="X10:X20" si="6">+L10+M10+N10</f>
        <v>2080.1268985017882</v>
      </c>
      <c r="Y10" s="18">
        <f t="shared" ref="Y10:Y20" si="7">+X10/F10</f>
        <v>2080.1268985017882</v>
      </c>
      <c r="Z10" s="18">
        <f t="shared" ref="Z10:Z20" si="8">+Y10*1.13</f>
        <v>2350.5433953070205</v>
      </c>
      <c r="AA10" s="65">
        <v>0.3</v>
      </c>
      <c r="AB10" s="18">
        <f t="shared" ref="AB10:AB20" si="9">+Z10*AA10+Z10</f>
        <v>3055.7064138991268</v>
      </c>
    </row>
    <row r="11" spans="1:28" ht="30">
      <c r="A11" s="19"/>
      <c r="B11" s="15" t="s">
        <v>50</v>
      </c>
      <c r="C11" s="16" t="s">
        <v>54</v>
      </c>
      <c r="D11" s="17" t="s">
        <v>69</v>
      </c>
      <c r="E11" s="14">
        <v>1251</v>
      </c>
      <c r="F11" s="15">
        <v>4</v>
      </c>
      <c r="G11" s="18">
        <f t="shared" ref="G11:G20" si="10">E11*F11</f>
        <v>5004</v>
      </c>
      <c r="H11" s="18"/>
      <c r="I11" s="32">
        <f t="shared" si="1"/>
        <v>0.29191459572978651</v>
      </c>
      <c r="J11" s="18">
        <f t="shared" si="3"/>
        <v>291.91459572978653</v>
      </c>
      <c r="K11" s="18">
        <f t="shared" si="4"/>
        <v>437.87189359467976</v>
      </c>
      <c r="L11" s="18">
        <f t="shared" si="2"/>
        <v>5733.7864893244669</v>
      </c>
      <c r="M11" s="18">
        <f>+$M$7*I11</f>
        <v>87.001997158681476</v>
      </c>
      <c r="N11" s="18">
        <f t="shared" si="5"/>
        <v>487.66908933681981</v>
      </c>
      <c r="O11" s="33"/>
      <c r="P11" s="34"/>
      <c r="Q11" s="34"/>
      <c r="R11" s="18"/>
      <c r="S11" s="18"/>
      <c r="T11" s="18"/>
      <c r="U11" s="18"/>
      <c r="V11" s="18"/>
      <c r="W11" s="18"/>
      <c r="X11" s="18">
        <f t="shared" si="6"/>
        <v>6308.457575819968</v>
      </c>
      <c r="Y11" s="18">
        <f t="shared" si="7"/>
        <v>1577.114393954992</v>
      </c>
      <c r="Z11" s="18">
        <f t="shared" si="8"/>
        <v>1782.1392651691408</v>
      </c>
      <c r="AA11" s="65">
        <v>0.5</v>
      </c>
      <c r="AB11" s="18">
        <f t="shared" si="9"/>
        <v>2673.2088977537114</v>
      </c>
    </row>
    <row r="12" spans="1:28" ht="30">
      <c r="A12" s="19"/>
      <c r="B12" s="15" t="s">
        <v>51</v>
      </c>
      <c r="C12" s="16" t="s">
        <v>55</v>
      </c>
      <c r="D12" s="17" t="s">
        <v>70</v>
      </c>
      <c r="E12" s="14">
        <v>1255</v>
      </c>
      <c r="F12" s="15">
        <v>4</v>
      </c>
      <c r="G12" s="18">
        <f t="shared" si="10"/>
        <v>5020</v>
      </c>
      <c r="H12" s="18"/>
      <c r="I12" s="32">
        <f t="shared" si="1"/>
        <v>0.29284797573211996</v>
      </c>
      <c r="J12" s="18">
        <f t="shared" si="3"/>
        <v>292.84797573211995</v>
      </c>
      <c r="K12" s="18">
        <f t="shared" si="4"/>
        <v>439.27196359817992</v>
      </c>
      <c r="L12" s="18">
        <f t="shared" si="2"/>
        <v>5752.1199393303004</v>
      </c>
      <c r="M12" s="18">
        <f>+$M$7*I12</f>
        <v>87.280181002514183</v>
      </c>
      <c r="N12" s="18">
        <f t="shared" si="5"/>
        <v>489.22838298777685</v>
      </c>
      <c r="O12" s="33"/>
      <c r="P12" s="34"/>
      <c r="Q12" s="34"/>
      <c r="R12" s="18"/>
      <c r="S12" s="18"/>
      <c r="T12" s="18"/>
      <c r="U12" s="18"/>
      <c r="V12" s="18"/>
      <c r="W12" s="18"/>
      <c r="X12" s="18">
        <f t="shared" si="6"/>
        <v>6328.6285033205913</v>
      </c>
      <c r="Y12" s="18">
        <f t="shared" si="7"/>
        <v>1582.1571258301478</v>
      </c>
      <c r="Z12" s="18">
        <f t="shared" si="8"/>
        <v>1787.8375521880669</v>
      </c>
      <c r="AA12" s="65">
        <v>0.4</v>
      </c>
      <c r="AB12" s="18">
        <f t="shared" si="9"/>
        <v>2502.9725730632936</v>
      </c>
    </row>
    <row r="13" spans="1:28" ht="30">
      <c r="A13" s="20"/>
      <c r="B13" s="15" t="s">
        <v>51</v>
      </c>
      <c r="C13" s="16" t="s">
        <v>56</v>
      </c>
      <c r="D13" s="17" t="s">
        <v>60</v>
      </c>
      <c r="E13" s="14">
        <v>123</v>
      </c>
      <c r="F13" s="15">
        <v>15</v>
      </c>
      <c r="G13" s="18">
        <f t="shared" si="10"/>
        <v>1845</v>
      </c>
      <c r="H13" s="18"/>
      <c r="I13" s="32">
        <f t="shared" si="1"/>
        <v>0.10763038151907596</v>
      </c>
      <c r="J13" s="18">
        <f t="shared" si="3"/>
        <v>107.63038151907595</v>
      </c>
      <c r="K13" s="18">
        <f t="shared" si="4"/>
        <v>161.44557227861395</v>
      </c>
      <c r="L13" s="18">
        <f t="shared" si="2"/>
        <v>2114.0759537976896</v>
      </c>
      <c r="M13" s="18">
        <f>+$M$7*I13</f>
        <v>32.078074491959896</v>
      </c>
      <c r="N13" s="18">
        <f t="shared" si="5"/>
        <v>179.80604912598571</v>
      </c>
      <c r="O13" s="33"/>
      <c r="P13" s="34"/>
      <c r="Q13" s="34"/>
      <c r="R13" s="18"/>
      <c r="S13" s="18"/>
      <c r="T13" s="18"/>
      <c r="U13" s="18"/>
      <c r="V13" s="18"/>
      <c r="W13" s="18"/>
      <c r="X13" s="18">
        <f t="shared" si="6"/>
        <v>2325.9600774156352</v>
      </c>
      <c r="Y13" s="18">
        <f t="shared" si="7"/>
        <v>155.06400516104233</v>
      </c>
      <c r="Z13" s="18">
        <f t="shared" si="8"/>
        <v>175.22232583197783</v>
      </c>
      <c r="AA13" s="65">
        <v>0.6</v>
      </c>
      <c r="AB13" s="18">
        <f t="shared" si="9"/>
        <v>280.35572133116455</v>
      </c>
    </row>
    <row r="14" spans="1:28" ht="30" hidden="1">
      <c r="A14" s="19"/>
      <c r="B14" s="15" t="s">
        <v>49</v>
      </c>
      <c r="C14" s="16"/>
      <c r="D14" s="17" t="s">
        <v>61</v>
      </c>
      <c r="E14" s="14"/>
      <c r="F14" s="15"/>
      <c r="G14" s="18">
        <f t="shared" si="10"/>
        <v>0</v>
      </c>
      <c r="H14" s="18">
        <f t="shared" ref="H10:H19" si="11">(E14*F14)*F$7</f>
        <v>0</v>
      </c>
      <c r="I14" s="32">
        <f t="shared" si="1"/>
        <v>0</v>
      </c>
      <c r="J14" s="18">
        <f t="shared" si="3"/>
        <v>0</v>
      </c>
      <c r="K14" s="18">
        <f t="shared" si="4"/>
        <v>0</v>
      </c>
      <c r="L14" s="18">
        <f t="shared" si="2"/>
        <v>0</v>
      </c>
      <c r="M14" s="18">
        <f>+$M$7*I14</f>
        <v>0</v>
      </c>
      <c r="N14" s="18">
        <f t="shared" si="5"/>
        <v>0</v>
      </c>
      <c r="O14" s="33"/>
      <c r="P14" s="34"/>
      <c r="Q14" s="34"/>
      <c r="R14" s="18"/>
      <c r="S14" s="18"/>
      <c r="T14" s="18"/>
      <c r="U14" s="18"/>
      <c r="V14" s="18"/>
      <c r="W14" s="18"/>
      <c r="X14" s="18">
        <f t="shared" si="6"/>
        <v>0</v>
      </c>
      <c r="Y14" s="18" t="e">
        <f t="shared" si="7"/>
        <v>#DIV/0!</v>
      </c>
      <c r="Z14" s="18" t="e">
        <f t="shared" si="8"/>
        <v>#DIV/0!</v>
      </c>
      <c r="AA14" s="65">
        <v>0.4</v>
      </c>
      <c r="AB14" s="18" t="e">
        <f t="shared" si="9"/>
        <v>#DIV/0!</v>
      </c>
    </row>
    <row r="15" spans="1:28" ht="30" hidden="1">
      <c r="A15" s="14"/>
      <c r="B15" s="15" t="s">
        <v>49</v>
      </c>
      <c r="C15" s="16"/>
      <c r="D15" s="17" t="s">
        <v>62</v>
      </c>
      <c r="E15" s="14">
        <f t="shared" ref="E15:E20" si="12">+A15*$F$5</f>
        <v>0</v>
      </c>
      <c r="F15" s="15"/>
      <c r="G15" s="18">
        <f t="shared" si="10"/>
        <v>0</v>
      </c>
      <c r="H15" s="18">
        <f t="shared" si="11"/>
        <v>0</v>
      </c>
      <c r="I15" s="32">
        <f t="shared" si="1"/>
        <v>0</v>
      </c>
      <c r="J15" s="18">
        <f t="shared" si="3"/>
        <v>0</v>
      </c>
      <c r="K15" s="18">
        <f t="shared" si="4"/>
        <v>0</v>
      </c>
      <c r="L15" s="18">
        <f t="shared" si="2"/>
        <v>0</v>
      </c>
      <c r="M15" s="18">
        <f>+$M$7*I15</f>
        <v>0</v>
      </c>
      <c r="N15" s="18">
        <f t="shared" si="5"/>
        <v>0</v>
      </c>
      <c r="O15" s="33"/>
      <c r="P15" s="34"/>
      <c r="Q15" s="34"/>
      <c r="R15" s="18"/>
      <c r="S15" s="18"/>
      <c r="T15" s="18"/>
      <c r="U15" s="18"/>
      <c r="V15" s="18"/>
      <c r="W15" s="18"/>
      <c r="X15" s="18">
        <f t="shared" si="6"/>
        <v>0</v>
      </c>
      <c r="Y15" s="18" t="e">
        <f t="shared" si="7"/>
        <v>#DIV/0!</v>
      </c>
      <c r="Z15" s="18" t="e">
        <f t="shared" si="8"/>
        <v>#DIV/0!</v>
      </c>
      <c r="AA15" s="65">
        <v>0.4</v>
      </c>
      <c r="AB15" s="18" t="e">
        <f t="shared" si="9"/>
        <v>#DIV/0!</v>
      </c>
    </row>
    <row r="16" spans="1:28" ht="30" hidden="1">
      <c r="A16" s="14"/>
      <c r="B16" s="15" t="s">
        <v>49</v>
      </c>
      <c r="C16" s="16"/>
      <c r="D16" s="17" t="s">
        <v>63</v>
      </c>
      <c r="E16" s="14">
        <f t="shared" si="12"/>
        <v>0</v>
      </c>
      <c r="F16" s="15"/>
      <c r="G16" s="18">
        <f t="shared" si="10"/>
        <v>0</v>
      </c>
      <c r="H16" s="18">
        <f t="shared" si="11"/>
        <v>0</v>
      </c>
      <c r="I16" s="32">
        <f t="shared" si="1"/>
        <v>0</v>
      </c>
      <c r="J16" s="18">
        <f t="shared" si="3"/>
        <v>0</v>
      </c>
      <c r="K16" s="18">
        <f t="shared" si="4"/>
        <v>0</v>
      </c>
      <c r="L16" s="18">
        <f t="shared" si="2"/>
        <v>0</v>
      </c>
      <c r="M16" s="18">
        <f>+$M$7*I16</f>
        <v>0</v>
      </c>
      <c r="N16" s="18">
        <f t="shared" si="5"/>
        <v>0</v>
      </c>
      <c r="O16" s="33"/>
      <c r="P16" s="34"/>
      <c r="Q16" s="34"/>
      <c r="R16" s="18"/>
      <c r="S16" s="18"/>
      <c r="T16" s="18"/>
      <c r="U16" s="18"/>
      <c r="V16" s="18"/>
      <c r="W16" s="18"/>
      <c r="X16" s="18">
        <f t="shared" si="6"/>
        <v>0</v>
      </c>
      <c r="Y16" s="18" t="e">
        <f t="shared" si="7"/>
        <v>#DIV/0!</v>
      </c>
      <c r="Z16" s="18" t="e">
        <f t="shared" si="8"/>
        <v>#DIV/0!</v>
      </c>
      <c r="AA16" s="65">
        <v>0.4</v>
      </c>
      <c r="AB16" s="18" t="e">
        <f t="shared" si="9"/>
        <v>#DIV/0!</v>
      </c>
    </row>
    <row r="17" spans="1:28" ht="30" hidden="1">
      <c r="A17" s="14"/>
      <c r="B17" s="15" t="s">
        <v>49</v>
      </c>
      <c r="C17" s="16"/>
      <c r="D17" s="17" t="s">
        <v>64</v>
      </c>
      <c r="E17" s="14">
        <f t="shared" si="12"/>
        <v>0</v>
      </c>
      <c r="F17" s="15"/>
      <c r="G17" s="18">
        <f t="shared" si="10"/>
        <v>0</v>
      </c>
      <c r="H17" s="18">
        <f t="shared" si="11"/>
        <v>0</v>
      </c>
      <c r="I17" s="32">
        <f t="shared" si="1"/>
        <v>0</v>
      </c>
      <c r="J17" s="18">
        <f t="shared" si="3"/>
        <v>0</v>
      </c>
      <c r="K17" s="18">
        <f t="shared" si="4"/>
        <v>0</v>
      </c>
      <c r="L17" s="18">
        <f t="shared" si="2"/>
        <v>0</v>
      </c>
      <c r="M17" s="18">
        <f>+$M$7*I17</f>
        <v>0</v>
      </c>
      <c r="N17" s="18">
        <f t="shared" si="5"/>
        <v>0</v>
      </c>
      <c r="O17" s="33"/>
      <c r="P17" s="34"/>
      <c r="Q17" s="34"/>
      <c r="R17" s="18"/>
      <c r="S17" s="18"/>
      <c r="T17" s="18"/>
      <c r="U17" s="18"/>
      <c r="V17" s="18"/>
      <c r="W17" s="18"/>
      <c r="X17" s="18">
        <f t="shared" si="6"/>
        <v>0</v>
      </c>
      <c r="Y17" s="18" t="e">
        <f t="shared" si="7"/>
        <v>#DIV/0!</v>
      </c>
      <c r="Z17" s="18" t="e">
        <f t="shared" si="8"/>
        <v>#DIV/0!</v>
      </c>
      <c r="AA17" s="65">
        <v>0.4</v>
      </c>
      <c r="AB17" s="18" t="e">
        <f t="shared" si="9"/>
        <v>#DIV/0!</v>
      </c>
    </row>
    <row r="18" spans="1:28" ht="30" hidden="1">
      <c r="A18" s="14"/>
      <c r="B18" s="15" t="s">
        <v>49</v>
      </c>
      <c r="C18" s="16"/>
      <c r="D18" s="17" t="s">
        <v>65</v>
      </c>
      <c r="E18" s="14">
        <f t="shared" si="12"/>
        <v>0</v>
      </c>
      <c r="F18" s="15"/>
      <c r="G18" s="18">
        <f t="shared" si="10"/>
        <v>0</v>
      </c>
      <c r="H18" s="18">
        <f t="shared" si="11"/>
        <v>0</v>
      </c>
      <c r="I18" s="32">
        <f t="shared" si="1"/>
        <v>0</v>
      </c>
      <c r="J18" s="18">
        <f t="shared" si="3"/>
        <v>0</v>
      </c>
      <c r="K18" s="18">
        <f t="shared" si="4"/>
        <v>0</v>
      </c>
      <c r="L18" s="18">
        <f t="shared" si="2"/>
        <v>0</v>
      </c>
      <c r="M18" s="18">
        <f>+$M$7*I18</f>
        <v>0</v>
      </c>
      <c r="N18" s="18">
        <f t="shared" si="5"/>
        <v>0</v>
      </c>
      <c r="O18" s="33"/>
      <c r="P18" s="34"/>
      <c r="Q18" s="34"/>
      <c r="R18" s="18"/>
      <c r="S18" s="18"/>
      <c r="T18" s="18"/>
      <c r="U18" s="18"/>
      <c r="V18" s="18"/>
      <c r="W18" s="18"/>
      <c r="X18" s="18">
        <f t="shared" si="6"/>
        <v>0</v>
      </c>
      <c r="Y18" s="18" t="e">
        <f t="shared" si="7"/>
        <v>#DIV/0!</v>
      </c>
      <c r="Z18" s="18" t="e">
        <f t="shared" si="8"/>
        <v>#DIV/0!</v>
      </c>
      <c r="AA18" s="65">
        <v>0.4</v>
      </c>
      <c r="AB18" s="18" t="e">
        <f t="shared" si="9"/>
        <v>#DIV/0!</v>
      </c>
    </row>
    <row r="19" spans="1:28" ht="30" hidden="1">
      <c r="A19" s="14"/>
      <c r="B19" s="15" t="s">
        <v>49</v>
      </c>
      <c r="C19" s="16"/>
      <c r="D19" s="17" t="s">
        <v>66</v>
      </c>
      <c r="E19" s="14">
        <f t="shared" si="12"/>
        <v>0</v>
      </c>
      <c r="F19" s="15"/>
      <c r="G19" s="18">
        <f t="shared" si="10"/>
        <v>0</v>
      </c>
      <c r="H19" s="18">
        <f t="shared" si="11"/>
        <v>0</v>
      </c>
      <c r="I19" s="32">
        <f t="shared" si="1"/>
        <v>0</v>
      </c>
      <c r="J19" s="18">
        <f t="shared" si="3"/>
        <v>0</v>
      </c>
      <c r="K19" s="18">
        <f t="shared" si="4"/>
        <v>0</v>
      </c>
      <c r="L19" s="18">
        <f t="shared" si="2"/>
        <v>0</v>
      </c>
      <c r="M19" s="18">
        <f>+$M$7*I19</f>
        <v>0</v>
      </c>
      <c r="N19" s="18">
        <f t="shared" si="5"/>
        <v>0</v>
      </c>
      <c r="O19" s="33"/>
      <c r="P19" s="34"/>
      <c r="Q19" s="34"/>
      <c r="R19" s="18"/>
      <c r="S19" s="18"/>
      <c r="T19" s="18"/>
      <c r="U19" s="18"/>
      <c r="V19" s="18"/>
      <c r="W19" s="18"/>
      <c r="X19" s="18">
        <f t="shared" si="6"/>
        <v>0</v>
      </c>
      <c r="Y19" s="18" t="e">
        <f t="shared" si="7"/>
        <v>#DIV/0!</v>
      </c>
      <c r="Z19" s="18" t="e">
        <f t="shared" si="8"/>
        <v>#DIV/0!</v>
      </c>
      <c r="AA19" s="65">
        <v>0.4</v>
      </c>
      <c r="AB19" s="18" t="e">
        <f t="shared" si="9"/>
        <v>#DIV/0!</v>
      </c>
    </row>
    <row r="20" spans="1:28" ht="30">
      <c r="A20" s="14"/>
      <c r="B20" s="15" t="s">
        <v>52</v>
      </c>
      <c r="C20" s="16" t="s">
        <v>57</v>
      </c>
      <c r="D20" s="17" t="s">
        <v>67</v>
      </c>
      <c r="E20" s="14">
        <v>1423</v>
      </c>
      <c r="F20" s="15">
        <v>1</v>
      </c>
      <c r="G20" s="18">
        <f t="shared" si="10"/>
        <v>1423</v>
      </c>
      <c r="H20" s="18"/>
      <c r="I20" s="32">
        <f t="shared" si="1"/>
        <v>8.3012483957531205E-2</v>
      </c>
      <c r="J20" s="18">
        <f t="shared" si="3"/>
        <v>83.012483957531202</v>
      </c>
      <c r="K20" s="18">
        <f t="shared" si="4"/>
        <v>124.5187259362968</v>
      </c>
      <c r="L20" s="18"/>
      <c r="M20" s="18">
        <f>+$M$7*I20</f>
        <v>24.740975610872049</v>
      </c>
      <c r="N20" s="18">
        <f t="shared" si="5"/>
        <v>138.6796790819933</v>
      </c>
      <c r="O20" s="33"/>
      <c r="P20" s="34"/>
      <c r="Q20" s="34"/>
      <c r="R20" s="18"/>
      <c r="S20" s="18"/>
      <c r="T20" s="18"/>
      <c r="U20" s="18"/>
      <c r="V20" s="18"/>
      <c r="W20" s="18"/>
      <c r="X20" s="18">
        <f t="shared" si="6"/>
        <v>163.42065469286536</v>
      </c>
      <c r="Y20" s="18">
        <f t="shared" si="7"/>
        <v>163.42065469286536</v>
      </c>
      <c r="Z20" s="18">
        <f t="shared" si="8"/>
        <v>184.66533980293784</v>
      </c>
      <c r="AA20" s="65">
        <v>0.1</v>
      </c>
      <c r="AB20" s="18">
        <f t="shared" si="9"/>
        <v>203.13187378323161</v>
      </c>
    </row>
    <row r="21" spans="1:28" ht="15">
      <c r="A21" s="15"/>
      <c r="B21" s="15"/>
      <c r="C21" s="16"/>
      <c r="D21" s="21"/>
      <c r="E21" s="14"/>
      <c r="F21" s="15"/>
      <c r="G21" s="18"/>
      <c r="H21" s="18">
        <f t="shared" ref="H21:H25" si="13">(E21*F21)*F$7</f>
        <v>0</v>
      </c>
      <c r="I21" s="35"/>
      <c r="J21" s="18"/>
      <c r="K21" s="18"/>
      <c r="L21" s="18"/>
      <c r="M21" s="18"/>
      <c r="N21" s="18"/>
      <c r="O21" s="33"/>
      <c r="P21" s="34"/>
      <c r="Q21" s="34"/>
      <c r="R21" s="18"/>
      <c r="S21" s="18"/>
      <c r="T21" s="18"/>
      <c r="U21" s="18"/>
      <c r="V21" s="18"/>
      <c r="W21" s="18"/>
      <c r="X21" s="18"/>
      <c r="Y21" s="18"/>
      <c r="Z21" s="18"/>
    </row>
    <row r="22" spans="1:28" ht="15">
      <c r="A22" s="15"/>
      <c r="B22" s="15"/>
      <c r="C22" s="16"/>
      <c r="D22" s="21" t="s">
        <v>29</v>
      </c>
      <c r="E22" s="14"/>
      <c r="F22" s="15"/>
      <c r="G22" s="22">
        <f t="shared" ref="G22:J22" si="14">SUM(G9:G21)</f>
        <v>17142</v>
      </c>
      <c r="H22" s="18"/>
      <c r="I22" s="35">
        <f t="shared" si="14"/>
        <v>1</v>
      </c>
      <c r="J22" s="22">
        <f t="shared" si="14"/>
        <v>1000.0000000000001</v>
      </c>
      <c r="K22" s="18"/>
      <c r="L22" s="22">
        <f t="shared" ref="L22:N22" si="15">SUM(L9:L21)</f>
        <v>18011.46879010617</v>
      </c>
      <c r="M22" s="22">
        <f t="shared" si="15"/>
        <v>298.03921568627453</v>
      </c>
      <c r="N22" s="22">
        <f t="shared" si="15"/>
        <v>1670.5882352941178</v>
      </c>
      <c r="O22" s="33"/>
      <c r="P22" s="34"/>
      <c r="Q22" s="34"/>
      <c r="R22" s="18"/>
      <c r="S22" s="18"/>
      <c r="T22" s="18"/>
      <c r="U22" s="18"/>
      <c r="V22" s="18"/>
      <c r="W22" s="18"/>
      <c r="X22" s="18"/>
      <c r="Y22" s="18"/>
      <c r="Z22" s="18"/>
    </row>
    <row r="23" spans="1:28" ht="15">
      <c r="A23" s="15"/>
      <c r="B23" s="15"/>
      <c r="C23" s="16"/>
      <c r="D23" s="21">
        <v>0</v>
      </c>
      <c r="E23" s="14">
        <v>0</v>
      </c>
      <c r="F23" s="23">
        <v>0</v>
      </c>
      <c r="G23" s="18">
        <f t="shared" ref="G23:G25" si="16">E23*F23</f>
        <v>0</v>
      </c>
      <c r="H23" s="18">
        <f t="shared" si="13"/>
        <v>0</v>
      </c>
      <c r="I23" s="18">
        <v>0</v>
      </c>
      <c r="J23" s="18">
        <v>0</v>
      </c>
      <c r="K23" s="18">
        <v>0</v>
      </c>
      <c r="L23" s="18"/>
      <c r="M23" s="18"/>
      <c r="N23" s="18"/>
      <c r="O23" s="33"/>
      <c r="P23" s="34"/>
      <c r="Q23" s="34"/>
      <c r="R23" s="18">
        <f t="shared" ref="R23:T23" si="17">(R$7/$G$7)*$G23</f>
        <v>0</v>
      </c>
      <c r="S23" s="18">
        <f t="shared" si="17"/>
        <v>0</v>
      </c>
      <c r="T23" s="18">
        <f t="shared" si="17"/>
        <v>0</v>
      </c>
      <c r="U23" s="18" t="e">
        <f>(U$7/U$1)*E23</f>
        <v>#REF!</v>
      </c>
      <c r="V23" s="18">
        <f t="shared" ref="V23:V25" si="18">(V$7/$G$7)*$G23</f>
        <v>0</v>
      </c>
      <c r="W23" s="18">
        <f t="shared" ref="W23:W25" si="19">($W$7/G$7)*G23</f>
        <v>0</v>
      </c>
      <c r="X23" s="18"/>
      <c r="Y23" s="18"/>
      <c r="Z23" s="18"/>
    </row>
    <row r="24" spans="1:28" ht="15">
      <c r="A24" s="15"/>
      <c r="B24" s="15"/>
      <c r="C24" s="16"/>
      <c r="D24" s="21">
        <v>0</v>
      </c>
      <c r="E24" s="14">
        <v>0</v>
      </c>
      <c r="F24" s="23">
        <v>0</v>
      </c>
      <c r="G24" s="18">
        <f t="shared" si="16"/>
        <v>0</v>
      </c>
      <c r="H24" s="18">
        <f t="shared" si="13"/>
        <v>0</v>
      </c>
      <c r="I24" s="18"/>
      <c r="J24" s="18"/>
      <c r="K24" s="18"/>
      <c r="L24" s="18"/>
      <c r="M24" s="18"/>
      <c r="N24" s="18"/>
      <c r="O24" s="33"/>
      <c r="P24" s="34"/>
      <c r="Q24" s="34"/>
      <c r="R24" s="18">
        <f t="shared" ref="R24:T24" si="20">(R$7/$G$7)*$G24</f>
        <v>0</v>
      </c>
      <c r="S24" s="18">
        <f t="shared" si="20"/>
        <v>0</v>
      </c>
      <c r="T24" s="18">
        <f t="shared" si="20"/>
        <v>0</v>
      </c>
      <c r="U24" s="18" t="e">
        <f>(U$7/U$1)*E24</f>
        <v>#REF!</v>
      </c>
      <c r="V24" s="18">
        <f t="shared" si="18"/>
        <v>0</v>
      </c>
      <c r="W24" s="18">
        <f t="shared" si="19"/>
        <v>0</v>
      </c>
      <c r="X24" s="18"/>
      <c r="Y24" s="18"/>
      <c r="Z24" s="18"/>
    </row>
    <row r="25" spans="1:28" ht="15">
      <c r="A25" s="15"/>
      <c r="B25" s="15"/>
      <c r="C25" s="16"/>
      <c r="D25" s="21">
        <v>0</v>
      </c>
      <c r="E25" s="14">
        <v>0</v>
      </c>
      <c r="F25" s="23">
        <v>0</v>
      </c>
      <c r="G25" s="18">
        <f t="shared" si="16"/>
        <v>0</v>
      </c>
      <c r="H25" s="18">
        <f t="shared" si="13"/>
        <v>0</v>
      </c>
      <c r="I25" s="18"/>
      <c r="J25" s="18"/>
      <c r="K25" s="18"/>
      <c r="L25" s="18"/>
      <c r="M25" s="18"/>
      <c r="N25" s="18"/>
      <c r="O25" s="33"/>
      <c r="P25" s="34"/>
      <c r="Q25" s="34"/>
      <c r="R25" s="18">
        <f t="shared" ref="R25:T25" si="21">(R$7/$G$7)*$G25</f>
        <v>0</v>
      </c>
      <c r="S25" s="18">
        <f t="shared" si="21"/>
        <v>0</v>
      </c>
      <c r="T25" s="18">
        <f t="shared" si="21"/>
        <v>0</v>
      </c>
      <c r="U25" s="18" t="e">
        <f>(U$7/U$1)*E25</f>
        <v>#REF!</v>
      </c>
      <c r="V25" s="18">
        <f t="shared" si="18"/>
        <v>0</v>
      </c>
      <c r="W25" s="18">
        <f t="shared" si="19"/>
        <v>0</v>
      </c>
      <c r="X25" s="18"/>
      <c r="Y25" s="18"/>
      <c r="Z25" s="18"/>
    </row>
    <row r="26" spans="1:28" ht="15" hidden="1">
      <c r="A26" s="15"/>
      <c r="B26" s="15"/>
      <c r="C26" s="16"/>
      <c r="D26" s="21"/>
      <c r="E26" s="14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34"/>
      <c r="Q26" s="34"/>
      <c r="R26" s="18"/>
      <c r="S26" s="18"/>
      <c r="T26" s="18"/>
      <c r="U26" s="18"/>
      <c r="V26" s="18"/>
      <c r="W26" s="18"/>
      <c r="X26" s="18"/>
      <c r="Y26" s="18"/>
      <c r="Z26" s="18"/>
    </row>
    <row r="27" spans="1:28" hidden="1">
      <c r="G27" s="24"/>
      <c r="H27" s="24"/>
      <c r="I27" s="24"/>
      <c r="J27" s="24"/>
      <c r="K27" s="24"/>
    </row>
    <row r="28" spans="1:28">
      <c r="G28" s="24"/>
      <c r="H28" s="24"/>
      <c r="I28" s="24"/>
      <c r="J28" s="24"/>
      <c r="K28" s="24"/>
    </row>
    <row r="29" spans="1:28" ht="12.75" customHeight="1">
      <c r="J29" s="25"/>
      <c r="K29" s="24"/>
      <c r="X29" t="s">
        <v>4</v>
      </c>
    </row>
    <row r="30" spans="1:28">
      <c r="B30" s="25"/>
      <c r="G30" s="24"/>
      <c r="N30" s="24">
        <f>+L22</f>
        <v>18011.46879010617</v>
      </c>
      <c r="X30" s="24">
        <f>+N30*0.13+N30*0.01</f>
        <v>2521.6056306148639</v>
      </c>
      <c r="Y30" s="55">
        <f>+X30*F7</f>
        <v>1286018.8716135805</v>
      </c>
      <c r="Z30" s="55"/>
    </row>
    <row r="31" spans="1:28">
      <c r="B31" s="25"/>
      <c r="F31" t="s">
        <v>31</v>
      </c>
      <c r="G31" s="24"/>
      <c r="H31" s="24"/>
      <c r="N31" s="36" t="e">
        <f>+#REF!</f>
        <v>#REF!</v>
      </c>
      <c r="X31" s="24"/>
    </row>
    <row r="32" spans="1:28">
      <c r="G32" s="24"/>
      <c r="N32" s="37" t="e">
        <f>+N31/N30</f>
        <v>#REF!</v>
      </c>
    </row>
    <row r="33" spans="7:14">
      <c r="G33" s="24"/>
    </row>
    <row r="34" spans="7:14">
      <c r="G34" s="25"/>
      <c r="H34" s="25"/>
      <c r="I34" s="25"/>
    </row>
    <row r="35" spans="7:14">
      <c r="N35">
        <f>130+195+25+85+65</f>
        <v>500</v>
      </c>
    </row>
    <row r="65" spans="24:24">
      <c r="X65" s="25">
        <f>+N65*F7</f>
        <v>0</v>
      </c>
    </row>
  </sheetData>
  <mergeCells count="8">
    <mergeCell ref="B1:C1"/>
    <mergeCell ref="B2:C2"/>
    <mergeCell ref="B3:C3"/>
    <mergeCell ref="V3:W3"/>
    <mergeCell ref="Y30:Z30"/>
    <mergeCell ref="B4:C4"/>
    <mergeCell ref="B5:C5"/>
    <mergeCell ref="B7:C7"/>
  </mergeCells>
  <phoneticPr fontId="12" type="noConversion"/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FD66-FA1B-46E2-A302-1A1DFBEF5479}">
  <dimension ref="C6:O22"/>
  <sheetViews>
    <sheetView workbookViewId="0">
      <selection activeCell="H14" sqref="H14"/>
    </sheetView>
  </sheetViews>
  <sheetFormatPr baseColWidth="10" defaultRowHeight="12.75"/>
  <sheetData>
    <row r="6" spans="3:15"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3:15">
      <c r="C7" s="40">
        <v>45770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3:15">
      <c r="C8" s="39"/>
      <c r="D8" s="39"/>
      <c r="E8" s="39"/>
      <c r="F8" s="39"/>
      <c r="G8" s="39"/>
      <c r="H8" s="39"/>
      <c r="I8" s="39"/>
      <c r="J8" s="39"/>
      <c r="K8" s="39"/>
      <c r="L8" s="58" t="s">
        <v>32</v>
      </c>
      <c r="M8" s="59"/>
      <c r="N8" s="60"/>
      <c r="O8" s="39"/>
    </row>
    <row r="9" spans="3:15" ht="15">
      <c r="C9" s="41" t="s">
        <v>33</v>
      </c>
      <c r="D9" s="41" t="s">
        <v>34</v>
      </c>
      <c r="E9" s="42" t="s">
        <v>35</v>
      </c>
      <c r="F9" s="42" t="s">
        <v>36</v>
      </c>
      <c r="G9" s="58" t="s">
        <v>37</v>
      </c>
      <c r="H9" s="59"/>
      <c r="I9" s="60"/>
      <c r="J9" s="42" t="s">
        <v>38</v>
      </c>
      <c r="K9" s="42" t="s">
        <v>39</v>
      </c>
      <c r="L9" s="43" t="s">
        <v>40</v>
      </c>
      <c r="M9" s="43" t="s">
        <v>41</v>
      </c>
      <c r="N9" s="43" t="s">
        <v>42</v>
      </c>
      <c r="O9" s="39"/>
    </row>
    <row r="10" spans="3:15" ht="15.75">
      <c r="C10" s="44">
        <v>2</v>
      </c>
      <c r="D10" s="45" t="s">
        <v>30</v>
      </c>
      <c r="E10" s="46" t="s">
        <v>43</v>
      </c>
      <c r="F10" s="46">
        <f>4496.83*C10</f>
        <v>8993.66</v>
      </c>
      <c r="G10" s="47">
        <v>0.78</v>
      </c>
      <c r="H10" s="47">
        <v>0.68</v>
      </c>
      <c r="I10" s="47">
        <v>0.93</v>
      </c>
      <c r="J10" s="47">
        <f>+(I10*H10*G10)*C10</f>
        <v>0.9865440000000002</v>
      </c>
      <c r="K10" s="46">
        <f>50*C10</f>
        <v>100</v>
      </c>
      <c r="L10" s="48">
        <v>561.79999999999995</v>
      </c>
      <c r="M10" s="48"/>
      <c r="N10" s="48">
        <v>605</v>
      </c>
      <c r="O10" s="39"/>
    </row>
    <row r="11" spans="3:15" ht="15">
      <c r="C11" s="44"/>
      <c r="D11" s="49"/>
      <c r="E11" s="46"/>
      <c r="F11" s="46"/>
      <c r="G11" s="47"/>
      <c r="H11" s="47"/>
      <c r="I11" s="47"/>
      <c r="J11" s="47"/>
      <c r="K11" s="46"/>
      <c r="L11" s="47"/>
      <c r="M11" s="47"/>
      <c r="N11" s="47"/>
      <c r="O11" s="39"/>
    </row>
    <row r="12" spans="3:15" ht="15">
      <c r="C12" s="44"/>
      <c r="D12" s="49"/>
      <c r="E12" s="46"/>
      <c r="F12" s="46"/>
      <c r="G12" s="47"/>
      <c r="H12" s="47"/>
      <c r="I12" s="47"/>
      <c r="J12" s="47"/>
      <c r="K12" s="46"/>
      <c r="L12" s="47"/>
      <c r="M12" s="47"/>
      <c r="N12" s="47"/>
      <c r="O12" s="39"/>
    </row>
    <row r="13" spans="3:15">
      <c r="C13" s="39"/>
      <c r="D13" s="39"/>
      <c r="E13" s="39"/>
      <c r="F13" s="39"/>
      <c r="G13" s="39"/>
      <c r="H13" s="39"/>
      <c r="I13" s="39"/>
      <c r="J13" s="39"/>
      <c r="K13" s="50"/>
      <c r="L13" s="39"/>
      <c r="M13" s="39"/>
      <c r="N13" s="39"/>
      <c r="O13" s="39"/>
    </row>
    <row r="14" spans="3:15" ht="76.5">
      <c r="C14" s="39"/>
      <c r="D14" s="51" t="s">
        <v>44</v>
      </c>
      <c r="E14" s="39"/>
      <c r="F14" s="39"/>
      <c r="G14" s="39"/>
      <c r="H14" s="39"/>
      <c r="I14" s="39"/>
      <c r="J14" s="39"/>
      <c r="K14" s="50"/>
      <c r="L14" s="39"/>
      <c r="M14" s="39"/>
      <c r="N14" s="39"/>
      <c r="O14" s="39"/>
    </row>
    <row r="15" spans="3:15">
      <c r="C15" s="39"/>
      <c r="D15" s="52"/>
      <c r="E15" s="39"/>
      <c r="F15" s="39"/>
      <c r="G15" s="39"/>
      <c r="H15" s="39"/>
      <c r="I15" s="39"/>
      <c r="J15" s="39"/>
      <c r="K15" s="50"/>
      <c r="L15" s="39"/>
      <c r="M15" s="39"/>
      <c r="N15" s="39"/>
      <c r="O15" s="39"/>
    </row>
    <row r="16" spans="3:15">
      <c r="C16" s="39"/>
      <c r="D16" s="52"/>
      <c r="E16" s="39"/>
      <c r="F16" s="39"/>
      <c r="G16" s="39"/>
      <c r="H16" s="39"/>
      <c r="I16" s="39"/>
      <c r="J16" s="39"/>
      <c r="K16" s="50"/>
      <c r="L16" s="48">
        <v>561.79999999999995</v>
      </c>
      <c r="M16" s="39" t="s">
        <v>31</v>
      </c>
      <c r="N16" s="39" t="s">
        <v>45</v>
      </c>
      <c r="O16" s="39"/>
    </row>
    <row r="17" spans="3:15">
      <c r="C17" s="39"/>
      <c r="D17" s="52"/>
      <c r="E17" s="39"/>
      <c r="F17" s="39"/>
      <c r="G17" s="39"/>
      <c r="H17" s="39"/>
      <c r="I17" s="39"/>
      <c r="J17" s="39"/>
      <c r="K17" s="50"/>
      <c r="L17" s="39"/>
      <c r="M17" s="39"/>
      <c r="N17" s="39" t="s">
        <v>46</v>
      </c>
      <c r="O17" s="39"/>
    </row>
    <row r="18" spans="3:15">
      <c r="C18" s="50"/>
      <c r="D18" s="39"/>
      <c r="E18" s="39"/>
      <c r="F18" s="39"/>
      <c r="G18" s="39"/>
      <c r="H18" s="39"/>
      <c r="I18" s="39"/>
      <c r="J18" s="39"/>
      <c r="K18" s="50"/>
      <c r="L18" s="39"/>
      <c r="M18" s="39"/>
      <c r="N18" s="39" t="s">
        <v>47</v>
      </c>
      <c r="O18" s="39"/>
    </row>
    <row r="19" spans="3:15">
      <c r="C19" s="50"/>
      <c r="D19" s="39"/>
      <c r="E19" s="39"/>
      <c r="F19" s="39"/>
      <c r="G19" s="39"/>
      <c r="H19" s="39"/>
      <c r="I19" s="39"/>
      <c r="J19" s="39"/>
      <c r="K19" s="50"/>
      <c r="L19" s="39"/>
      <c r="M19" s="39"/>
      <c r="N19" s="39" t="s">
        <v>48</v>
      </c>
      <c r="O19" s="39"/>
    </row>
    <row r="20" spans="3:15">
      <c r="C20" s="39"/>
      <c r="D20" s="39"/>
      <c r="E20" s="39"/>
      <c r="F20" s="39"/>
      <c r="G20" s="39"/>
      <c r="H20" s="39"/>
      <c r="I20" s="39"/>
      <c r="J20" s="39"/>
      <c r="K20" s="50"/>
      <c r="L20" s="39"/>
      <c r="M20" s="39"/>
      <c r="N20" s="39"/>
      <c r="O20" s="39"/>
    </row>
    <row r="21" spans="3:15">
      <c r="C21" s="39"/>
      <c r="D21" s="39"/>
      <c r="E21" s="39"/>
      <c r="F21" s="39"/>
      <c r="G21" s="39"/>
      <c r="H21" s="39"/>
      <c r="I21" s="39"/>
      <c r="J21" s="39"/>
      <c r="K21" s="50"/>
      <c r="L21" s="39"/>
      <c r="M21" s="39"/>
      <c r="N21" s="39"/>
      <c r="O21" s="39"/>
    </row>
    <row r="22" spans="3:15">
      <c r="C22" s="39"/>
      <c r="D22" s="39"/>
      <c r="E22" s="39"/>
      <c r="F22" s="39"/>
      <c r="G22" s="39"/>
      <c r="H22" s="39"/>
      <c r="I22" s="39"/>
      <c r="J22" s="39"/>
      <c r="K22" s="50"/>
      <c r="L22" s="39"/>
      <c r="M22" s="39"/>
      <c r="N22" s="39"/>
      <c r="O22" s="39"/>
    </row>
  </sheetData>
  <mergeCells count="2">
    <mergeCell ref="L8:N8"/>
    <mergeCell ref="G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 PALO 8 ONZ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Andrés Romero</cp:lastModifiedBy>
  <cp:lastPrinted>2025-01-22T17:15:00Z</cp:lastPrinted>
  <dcterms:created xsi:type="dcterms:W3CDTF">2013-07-15T11:37:00Z</dcterms:created>
  <dcterms:modified xsi:type="dcterms:W3CDTF">2025-06-21T03:42:38Z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7D4112F21841418FAD9DD09ECB704942_13</vt:lpwstr>
  </property>
  <property fmtid="{D5CDD505-2E9C-101B-9397-08002B2CF9AE}" pid="3" name="KSOProductBuildVer">
    <vt:lpwstr>2058-12.2.0.20795</vt:lpwstr>
  </property>
</Properties>
</file>