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g\Documents\Business Analytics\MBE Spreadsheets\"/>
    </mc:Choice>
  </mc:AlternateContent>
  <xr:revisionPtr revIDLastSave="0" documentId="13_ncr:1_{38F34DA3-CCF0-4A63-A52E-C28E19D4A66F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ar Loan" sheetId="5" r:id="rId1"/>
    <sheet name="Mortgage" sheetId="6" r:id="rId2"/>
    <sheet name="Student Loan" sheetId="7" r:id="rId3"/>
    <sheet name="Budg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7" l="1"/>
  <c r="B10" i="7" s="1"/>
  <c r="B16" i="6"/>
  <c r="B13" i="6"/>
  <c r="B14" i="6" s="1"/>
  <c r="B18" i="5"/>
  <c r="B17" i="5"/>
  <c r="B19" i="5"/>
  <c r="B20" i="5"/>
  <c r="B22" i="5" s="1"/>
  <c r="B16" i="5"/>
  <c r="C22" i="4" l="1"/>
  <c r="B21" i="5"/>
  <c r="B17" i="6"/>
  <c r="B15" i="6"/>
  <c r="B23" i="5"/>
  <c r="B36" i="4"/>
  <c r="B35" i="4"/>
  <c r="B34" i="4"/>
  <c r="B33" i="4"/>
  <c r="B30" i="4"/>
  <c r="D29" i="4"/>
  <c r="B28" i="4"/>
  <c r="D27" i="4"/>
  <c r="E27" i="4" s="1"/>
  <c r="D26" i="4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E25" i="4"/>
  <c r="D25" i="4"/>
  <c r="C7" i="4"/>
  <c r="C6" i="4"/>
  <c r="C5" i="4"/>
  <c r="C4" i="4"/>
  <c r="C3" i="4"/>
  <c r="C2" i="4"/>
  <c r="B24" i="5" l="1"/>
  <c r="C21" i="4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B18" i="6"/>
  <c r="C20" i="4" s="1"/>
  <c r="D20" i="4" s="1"/>
  <c r="B19" i="6"/>
  <c r="F27" i="4"/>
  <c r="G27" i="4" s="1"/>
  <c r="H27" i="4" s="1"/>
  <c r="I27" i="4" s="1"/>
  <c r="J27" i="4" s="1"/>
  <c r="K27" i="4" s="1"/>
  <c r="L27" i="4" s="1"/>
  <c r="M27" i="4" s="1"/>
  <c r="N27" i="4" s="1"/>
  <c r="F25" i="4"/>
  <c r="G25" i="4" s="1"/>
  <c r="H25" i="4" s="1"/>
  <c r="I25" i="4" s="1"/>
  <c r="J25" i="4" s="1"/>
  <c r="K25" i="4" s="1"/>
  <c r="L25" i="4" s="1"/>
  <c r="M25" i="4" s="1"/>
  <c r="N25" i="4" s="1"/>
  <c r="E29" i="4"/>
  <c r="F29" i="4" s="1"/>
  <c r="G29" i="4" s="1"/>
  <c r="H29" i="4" s="1"/>
  <c r="I29" i="4" s="1"/>
  <c r="J29" i="4" s="1"/>
  <c r="K29" i="4" s="1"/>
  <c r="L29" i="4" s="1"/>
  <c r="M29" i="4" s="1"/>
  <c r="N29" i="4" s="1"/>
  <c r="B26" i="4"/>
  <c r="E20" i="4"/>
  <c r="F20" i="4" s="1"/>
  <c r="G20" i="4" s="1"/>
  <c r="H20" i="4" s="1"/>
  <c r="I20" i="4" s="1"/>
  <c r="J20" i="4" s="1"/>
  <c r="K20" i="4" s="1"/>
  <c r="L20" i="4" s="1"/>
  <c r="M20" i="4" s="1"/>
  <c r="N20" i="4" s="1"/>
  <c r="D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C13" i="4"/>
  <c r="C15" i="4" s="1"/>
  <c r="B29" i="4" l="1"/>
  <c r="B25" i="4"/>
  <c r="B27" i="4"/>
  <c r="B15" i="4"/>
  <c r="C18" i="4"/>
  <c r="B21" i="4"/>
  <c r="B22" i="4"/>
  <c r="B20" i="4"/>
  <c r="D18" i="4" l="1"/>
  <c r="C23" i="4"/>
  <c r="C31" i="4" l="1"/>
  <c r="D23" i="4"/>
  <c r="D31" i="4" s="1"/>
  <c r="E18" i="4"/>
  <c r="E23" i="4" l="1"/>
  <c r="E31" i="4" s="1"/>
  <c r="F18" i="4"/>
  <c r="G18" i="4" l="1"/>
  <c r="F23" i="4"/>
  <c r="F31" i="4" s="1"/>
  <c r="H18" i="4" l="1"/>
  <c r="G23" i="4"/>
  <c r="G31" i="4" s="1"/>
  <c r="I18" i="4" l="1"/>
  <c r="H23" i="4"/>
  <c r="H31" i="4" s="1"/>
  <c r="I23" i="4" l="1"/>
  <c r="I31" i="4" s="1"/>
  <c r="J18" i="4"/>
  <c r="K18" i="4" l="1"/>
  <c r="J23" i="4"/>
  <c r="J31" i="4" s="1"/>
  <c r="L18" i="4" l="1"/>
  <c r="K23" i="4"/>
  <c r="K31" i="4" s="1"/>
  <c r="L23" i="4" l="1"/>
  <c r="L31" i="4" s="1"/>
  <c r="M18" i="4"/>
  <c r="M23" i="4" l="1"/>
  <c r="M31" i="4" s="1"/>
  <c r="N18" i="4"/>
  <c r="N23" i="4" l="1"/>
  <c r="B18" i="4"/>
  <c r="N31" i="4" l="1"/>
  <c r="B31" i="4" s="1"/>
  <c r="B23" i="4"/>
</calcChain>
</file>

<file path=xl/sharedStrings.xml><?xml version="1.0" encoding="utf-8"?>
<sst xmlns="http://schemas.openxmlformats.org/spreadsheetml/2006/main" count="94" uniqueCount="74">
  <si>
    <t>Inputs</t>
  </si>
  <si>
    <t>Salary</t>
  </si>
  <si>
    <t>Federal Withholding</t>
  </si>
  <si>
    <t>FICA (Social Security)</t>
  </si>
  <si>
    <t>Federal MED/EE</t>
  </si>
  <si>
    <t>State of Ohio Withholding</t>
  </si>
  <si>
    <t>City of Columbus Withholding</t>
  </si>
  <si>
    <t>Before Tax Deductions</t>
  </si>
  <si>
    <t>Health Insurance</t>
  </si>
  <si>
    <t>Dental Insurance</t>
  </si>
  <si>
    <t>Vision Insurance</t>
  </si>
  <si>
    <t>Employee Life Insurance</t>
  </si>
  <si>
    <t>IRA</t>
  </si>
  <si>
    <t>Net Monthly Pay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</si>
  <si>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</si>
  <si>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</si>
  <si>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</si>
  <si>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</si>
  <si>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</si>
  <si>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</si>
  <si>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</si>
  <si>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</si>
  <si>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</si>
  <si>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</si>
  <si>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</si>
  <si>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</si>
  <si>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</si>
  <si>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Inflow</t>
  </si>
  <si>
    <t>Fixed Payments (Loans)</t>
  </si>
  <si>
    <t>Mortgage</t>
  </si>
  <si>
    <t>Car Loan</t>
  </si>
  <si>
    <t>Student Loan</t>
  </si>
  <si>
    <t>Remaining</t>
  </si>
  <si>
    <t>Variable Monthly Bills</t>
  </si>
  <si>
    <t>Cable (Time Warner)</t>
  </si>
  <si>
    <t>Electric (AEP)</t>
  </si>
  <si>
    <t>Gas (Columbia Gas)</t>
  </si>
  <si>
    <t>Water (City Of Columbus)</t>
  </si>
  <si>
    <t>Phone (Verizon)</t>
  </si>
  <si>
    <t xml:space="preserve">Car Insurance </t>
  </si>
  <si>
    <t>Variable Payments</t>
  </si>
  <si>
    <t>American Express</t>
  </si>
  <si>
    <t>Visa</t>
  </si>
  <si>
    <t>Macy's Store Card</t>
  </si>
  <si>
    <t>Target Store Card</t>
  </si>
  <si>
    <t>Car Payment Calculator</t>
  </si>
  <si>
    <t>Vehicle Price</t>
  </si>
  <si>
    <t>Sales Tax</t>
  </si>
  <si>
    <t>Down Payment (%)</t>
  </si>
  <si>
    <t>Lease</t>
  </si>
  <si>
    <t>Purchase</t>
  </si>
  <si>
    <t>Interest Rate (Annual)</t>
  </si>
  <si>
    <t>Finance Period (Years)</t>
  </si>
  <si>
    <t>Residual Payment (Lease)</t>
  </si>
  <si>
    <t>Select Purchase Option:</t>
  </si>
  <si>
    <t>Lease or Purchase?</t>
  </si>
  <si>
    <t>Outputs</t>
  </si>
  <si>
    <t>Down Payment ($)</t>
  </si>
  <si>
    <t>Total Due at Signing</t>
  </si>
  <si>
    <t>Financed Amount</t>
  </si>
  <si>
    <t>Monthly Payment</t>
  </si>
  <si>
    <t>Total Cost Of Purch/Lease</t>
  </si>
  <si>
    <t>Sales Tax (Due at Purch)</t>
  </si>
  <si>
    <t>Fixed Rate Mortgage</t>
  </si>
  <si>
    <t>PMI Rate (Ann)</t>
  </si>
  <si>
    <t>Purchase Price</t>
  </si>
  <si>
    <t>Real Estate Taxes (Ann)</t>
  </si>
  <si>
    <t>Home Owners Ins (Ann)</t>
  </si>
  <si>
    <t>Principle and Interest</t>
  </si>
  <si>
    <t>Escrow (Monthly)</t>
  </si>
  <si>
    <t>PMI Payment (Monthly)</t>
  </si>
  <si>
    <t>Total Monthly Payment</t>
  </si>
  <si>
    <t>Total P&amp;I Over Loan Life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</si>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</sst>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"/>
    <numFmt numFmtId="165" formatCode="0.000%"/>
    <numFmt numFmtId="166" formatCode="0.0%"/>
    <numFmt numFmtId="167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3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/>
    <xf numFmtId="164" fontId="5" fillId="0" borderId="0" xfId="0" applyNumberFormat="1" applyFont="1" applyFill="1" applyBorder="1"/>
    <xf numFmtId="164" fontId="4" fillId="0" borderId="0" xfId="0" applyNumberFormat="1" applyFont="1" applyFill="1" applyBorder="1"/>
    <xf numFmtId="0" fontId="4" fillId="0" borderId="0" xfId="0" applyFont="1" applyFill="1" applyBorder="1"/>
    <xf numFmtId="164" fontId="4" fillId="3" borderId="2" xfId="0" applyNumberFormat="1" applyFont="1" applyFill="1" applyBorder="1" applyAlignment="1">
      <alignment horizontal="right" indent="1"/>
    </xf>
    <xf numFmtId="164" fontId="4" fillId="4" borderId="2" xfId="0" applyNumberFormat="1" applyFont="1" applyFill="1" applyBorder="1" applyAlignment="1">
      <alignment horizontal="right" indent="1"/>
    </xf>
    <xf numFmtId="165" fontId="4" fillId="3" borderId="2" xfId="0" applyNumberFormat="1" applyFont="1" applyFill="1" applyBorder="1" applyAlignment="1">
      <alignment horizontal="right" indent="1"/>
    </xf>
    <xf numFmtId="10" fontId="4" fillId="0" borderId="0" xfId="1" applyNumberFormat="1" applyFont="1" applyFill="1" applyBorder="1"/>
    <xf numFmtId="166" fontId="4" fillId="3" borderId="2" xfId="0" applyNumberFormat="1" applyFont="1" applyFill="1" applyBorder="1" applyAlignment="1">
      <alignment horizontal="right" indent="1"/>
    </xf>
    <xf numFmtId="10" fontId="4" fillId="3" borderId="2" xfId="0" applyNumberFormat="1" applyFont="1" applyFill="1" applyBorder="1" applyAlignment="1">
      <alignment horizontal="right" indent="1"/>
    </xf>
    <xf numFmtId="0" fontId="4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4" fillId="0" borderId="0" xfId="0" applyFont="1" applyFill="1"/>
    <xf numFmtId="0" fontId="3" fillId="0" borderId="2" xfId="0" applyFont="1" applyFill="1" applyBorder="1"/>
    <xf numFmtId="164" fontId="6" fillId="0" borderId="2" xfId="2" applyNumberFormat="1" applyFont="1" applyFill="1" applyBorder="1" applyAlignment="1">
      <alignment horizontal="right" indent="1"/>
    </xf>
    <xf numFmtId="164" fontId="4" fillId="0" borderId="2" xfId="0" applyNumberFormat="1" applyFont="1" applyFill="1" applyBorder="1" applyAlignment="1">
      <alignment horizontal="right" indent="1"/>
    </xf>
    <xf numFmtId="0" fontId="3" fillId="0" borderId="2" xfId="0" applyFont="1" applyFill="1" applyBorder="1" applyAlignment="1">
      <alignment horizontal="right" indent="1"/>
    </xf>
    <xf numFmtId="0" fontId="3" fillId="0" borderId="2" xfId="0" applyFont="1" applyFill="1" applyBorder="1" applyAlignment="1">
      <alignment horizontal="left" indent="2"/>
    </xf>
    <xf numFmtId="164" fontId="3" fillId="4" borderId="2" xfId="0" applyNumberFormat="1" applyFont="1" applyFill="1" applyBorder="1" applyAlignment="1">
      <alignment horizontal="right" indent="1"/>
    </xf>
    <xf numFmtId="164" fontId="4" fillId="0" borderId="0" xfId="0" applyNumberFormat="1" applyFont="1" applyFill="1"/>
    <xf numFmtId="164" fontId="7" fillId="0" borderId="2" xfId="0" applyNumberFormat="1" applyFont="1" applyFill="1" applyBorder="1" applyAlignment="1">
      <alignment horizontal="right" indent="1"/>
    </xf>
    <xf numFmtId="0" fontId="3" fillId="0" borderId="2" xfId="0" applyFont="1" applyFill="1" applyBorder="1" applyAlignment="1">
      <alignment horizontal="left" indent="4"/>
    </xf>
    <xf numFmtId="164" fontId="3" fillId="0" borderId="2" xfId="0" applyNumberFormat="1" applyFont="1" applyFill="1" applyBorder="1" applyAlignment="1">
      <alignment horizontal="right" indent="1"/>
    </xf>
    <xf numFmtId="164" fontId="5" fillId="3" borderId="2" xfId="0" applyNumberFormat="1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indent="2"/>
    </xf>
    <xf numFmtId="0" fontId="9" fillId="7" borderId="2" xfId="0" applyFont="1" applyFill="1" applyBorder="1" applyAlignment="1">
      <alignment horizontal="left" indent="2"/>
    </xf>
    <xf numFmtId="10" fontId="8" fillId="3" borderId="2" xfId="1" applyNumberFormat="1" applyFont="1" applyFill="1" applyBorder="1"/>
    <xf numFmtId="0" fontId="8" fillId="0" borderId="0" xfId="0" applyFont="1" applyAlignment="1">
      <alignment horizontal="right" vertical="justify" indent="1"/>
    </xf>
    <xf numFmtId="10" fontId="8" fillId="3" borderId="3" xfId="1" applyNumberFormat="1" applyFont="1" applyFill="1" applyBorder="1" applyAlignment="1">
      <alignment horizontal="right" vertical="justify" indent="1"/>
    </xf>
    <xf numFmtId="165" fontId="8" fillId="3" borderId="2" xfId="1" applyNumberFormat="1" applyFont="1" applyFill="1" applyBorder="1" applyAlignment="1">
      <alignment horizontal="right" vertical="justify" indent="1"/>
    </xf>
    <xf numFmtId="165" fontId="8" fillId="3" borderId="2" xfId="0" applyNumberFormat="1" applyFont="1" applyFill="1" applyBorder="1" applyAlignment="1">
      <alignment horizontal="right" vertical="justify" indent="1"/>
    </xf>
    <xf numFmtId="167" fontId="8" fillId="3" borderId="2" xfId="0" applyNumberFormat="1" applyFont="1" applyFill="1" applyBorder="1" applyAlignment="1">
      <alignment horizontal="right" vertical="justify" indent="1"/>
    </xf>
    <xf numFmtId="164" fontId="8" fillId="3" borderId="2" xfId="0" applyNumberFormat="1" applyFont="1" applyFill="1" applyBorder="1" applyAlignment="1">
      <alignment horizontal="right" vertical="justify" indent="1"/>
    </xf>
    <xf numFmtId="0" fontId="8" fillId="3" borderId="2" xfId="0" applyFont="1" applyFill="1" applyBorder="1" applyAlignment="1">
      <alignment horizontal="right" vertical="justify" indent="1"/>
    </xf>
    <xf numFmtId="165" fontId="8" fillId="6" borderId="2" xfId="0" applyNumberFormat="1" applyFont="1" applyFill="1" applyBorder="1" applyAlignment="1">
      <alignment horizontal="right" vertical="justify" indent="1"/>
    </xf>
    <xf numFmtId="167" fontId="8" fillId="6" borderId="2" xfId="0" applyNumberFormat="1" applyFont="1" applyFill="1" applyBorder="1" applyAlignment="1">
      <alignment horizontal="right" vertical="justify" indent="1"/>
    </xf>
    <xf numFmtId="164" fontId="8" fillId="6" borderId="2" xfId="0" applyNumberFormat="1" applyFont="1" applyFill="1" applyBorder="1" applyAlignment="1">
      <alignment horizontal="right" vertical="justify" indent="1"/>
    </xf>
    <xf numFmtId="0" fontId="8" fillId="6" borderId="2" xfId="0" applyFont="1" applyFill="1" applyBorder="1" applyAlignment="1">
      <alignment horizontal="right" vertical="justify" indent="1"/>
    </xf>
    <xf numFmtId="164" fontId="11" fillId="5" borderId="2" xfId="0" applyNumberFormat="1" applyFont="1" applyFill="1" applyBorder="1" applyAlignment="1">
      <alignment horizontal="right" vertical="justify" indent="1"/>
    </xf>
    <xf numFmtId="0" fontId="9" fillId="0" borderId="0" xfId="0" applyFont="1" applyFill="1" applyBorder="1" applyAlignment="1">
      <alignment horizontal="left" indent="2"/>
    </xf>
    <xf numFmtId="165" fontId="8" fillId="0" borderId="0" xfId="0" applyNumberFormat="1" applyFont="1" applyFill="1" applyBorder="1" applyAlignment="1">
      <alignment horizontal="right" vertical="justify" indent="1"/>
    </xf>
    <xf numFmtId="167" fontId="8" fillId="0" borderId="0" xfId="0" applyNumberFormat="1" applyFont="1" applyFill="1" applyBorder="1" applyAlignment="1">
      <alignment horizontal="right" vertical="justify" indent="1"/>
    </xf>
    <xf numFmtId="164" fontId="8" fillId="0" borderId="0" xfId="0" applyNumberFormat="1" applyFont="1" applyFill="1" applyBorder="1" applyAlignment="1">
      <alignment horizontal="right" vertical="justify" indent="1"/>
    </xf>
    <xf numFmtId="164" fontId="8" fillId="3" borderId="2" xfId="1" applyNumberFormat="1" applyFont="1" applyFill="1" applyBorder="1" applyAlignment="1">
      <alignment horizontal="right" vertical="justify" indent="1"/>
    </xf>
    <xf numFmtId="166" fontId="8" fillId="3" borderId="2" xfId="1" applyNumberFormat="1" applyFont="1" applyFill="1" applyBorder="1" applyAlignment="1">
      <alignment horizontal="right" vertical="justify" indent="1"/>
    </xf>
    <xf numFmtId="167" fontId="8" fillId="3" borderId="2" xfId="1" applyNumberFormat="1" applyFont="1" applyFill="1" applyBorder="1" applyAlignment="1">
      <alignment horizontal="right" vertical="justify" indent="1"/>
    </xf>
    <xf numFmtId="8" fontId="8" fillId="6" borderId="2" xfId="0" applyNumberFormat="1" applyFont="1" applyFill="1" applyBorder="1" applyAlignment="1">
      <alignment horizontal="right" vertical="justify" indent="1"/>
    </xf>
    <xf numFmtId="0" fontId="8" fillId="0" borderId="0" xfId="0" applyFont="1" applyFill="1" applyBorder="1"/>
    <xf numFmtId="0" fontId="10" fillId="0" borderId="0" xfId="0" applyFont="1" applyAlignment="1"/>
    <xf numFmtId="10" fontId="8" fillId="0" borderId="0" xfId="1" applyNumberFormat="1" applyFont="1" applyFill="1" applyBorder="1" applyAlignment="1">
      <alignment horizontal="right" vertical="justify" indent="1"/>
    </xf>
    <xf numFmtId="4" fontId="8" fillId="3" borderId="2" xfId="0" applyNumberFormat="1" applyFont="1" applyFill="1" applyBorder="1"/>
    <xf numFmtId="0" fontId="10" fillId="0" borderId="0" xfId="0" applyFont="1" applyAlignment="1">
      <alignment horizontal="left"/>
    </xf>
    <xf numFmtId="164" fontId="4" fillId="4" borderId="5" xfId="0" applyNumberFormat="1" applyFont="1" applyFill="1" applyBorder="1" applyAlignment="1">
      <alignment horizontal="right" indent="1"/>
    </xf>
    <xf numFmtId="165" fontId="4" fillId="3" borderId="6" xfId="0" applyNumberFormat="1" applyFont="1" applyFill="1" applyBorder="1" applyAlignment="1">
      <alignment horizontal="right" indent="1"/>
    </xf>
    <xf numFmtId="164" fontId="3" fillId="3" borderId="4" xfId="0" applyNumberFormat="1" applyFont="1" applyFill="1" applyBorder="1" applyAlignment="1">
      <alignment horizontal="right" indent="1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7</xdr:col>
      <xdr:colOff>571500</xdr:colOff>
      <xdr:row>36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529C23-EF7F-9341-9F0A-62B0E082EE50}"/>
            </a:ext>
          </a:extLst>
        </xdr:cNvPr>
        <xdr:cNvSpPr txBox="1"/>
      </xdr:nvSpPr>
      <xdr:spPr>
        <a:xfrm>
          <a:off x="0" y="6667500"/>
          <a:ext cx="8724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>
              <a:rot lat="0" lon="0" rev="2700000"/>
            </a:camera>
            <a:lightRig rig="threePt" dir="t"/>
          </a:scene3d>
        </a:bodyPr>
        <a:lstStyle/>
        <a:p>
          <a:r>
            <a:rPr lang="en-US" sz="6000" b="1">
              <a:solidFill>
                <a:schemeClr val="bg1">
                  <a:lumMod val="85000"/>
                </a:schemeClr>
              </a:solidFill>
            </a:rPr>
            <a:t>Terry Klinker.1</a:t>
          </a:r>
        </a:p>
      </xdr:txBody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571500</xdr:colOff>
      <xdr:row>36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D80886-DA20-884A-8DDA-1D426FB0C8E2}"/>
            </a:ext>
          </a:extLst>
        </xdr:cNvPr>
        <xdr:cNvSpPr txBox="1"/>
      </xdr:nvSpPr>
      <xdr:spPr>
        <a:xfrm>
          <a:off x="0" y="6667500"/>
          <a:ext cx="8724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>
              <a:rot lat="0" lon="0" rev="2700000"/>
            </a:camera>
            <a:lightRig rig="threePt" dir="t"/>
          </a:scene3d>
        </a:bodyPr>
        <a:lstStyle/>
        <a:p>
          <a:r>
            <a:rPr lang="en-US" sz="6000" b="1">
              <a:solidFill>
                <a:schemeClr val="bg1">
                  <a:lumMod val="85000"/>
                </a:schemeClr>
              </a:solidFill>
            </a:rPr>
            <a:t>Terry Klinker.1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E13" sqref="E13"/>
    </sheetView>
  </sheetViews>
  <sheetFormatPr defaultColWidth="8.796875" defaultRowHeight="15" x14ac:dyDescent="0.25"/>
  <cols>
    <col min="1" max="1" width="30.69921875" style="27" customWidth="1"/>
    <col min="2" max="3" width="15.69921875" style="27" customWidth="1"/>
    <col min="4" max="16384" width="8.796875" style="27"/>
  </cols>
  <sheetData>
    <row r="1" spans="1:5" ht="24.6" x14ac:dyDescent="0.4">
      <c r="A1" s="56" t="s">
        <v>45</v>
      </c>
      <c r="B1" s="56"/>
    </row>
    <row r="3" spans="1:5" ht="15.6" x14ac:dyDescent="0.3">
      <c r="A3" s="28" t="s">
        <v>0</v>
      </c>
    </row>
    <row r="4" spans="1:5" x14ac:dyDescent="0.25">
      <c r="A4" s="29" t="s">
        <v>46</v>
      </c>
      <c r="B4" s="55">
        <v>35000</v>
      </c>
    </row>
    <row r="5" spans="1:5" x14ac:dyDescent="0.25">
      <c r="A5" s="29" t="s">
        <v>47</v>
      </c>
      <c r="B5" s="31">
        <v>7.4999999999999997E-2</v>
      </c>
    </row>
    <row r="6" spans="1:5" x14ac:dyDescent="0.25">
      <c r="A6" s="29" t="s">
        <v>48</v>
      </c>
      <c r="B6" s="33">
        <v>0.25</v>
      </c>
    </row>
    <row r="7" spans="1:5" ht="15.6" x14ac:dyDescent="0.3">
      <c r="A7" s="29"/>
      <c r="B7" s="30" t="s">
        <v>49</v>
      </c>
      <c r="C7" s="30" t="s">
        <v>50</v>
      </c>
    </row>
    <row r="8" spans="1:5" x14ac:dyDescent="0.25">
      <c r="A8" s="29" t="s">
        <v>51</v>
      </c>
      <c r="B8" s="34">
        <v>0.04</v>
      </c>
      <c r="C8" s="35">
        <v>1.9900000000000001E-2</v>
      </c>
    </row>
    <row r="9" spans="1:5" x14ac:dyDescent="0.25">
      <c r="A9" s="29" t="s">
        <v>52</v>
      </c>
      <c r="B9" s="36">
        <v>3</v>
      </c>
      <c r="C9" s="36">
        <v>5</v>
      </c>
    </row>
    <row r="10" spans="1:5" x14ac:dyDescent="0.25">
      <c r="A10" s="29" t="s">
        <v>53</v>
      </c>
      <c r="B10" s="37">
        <v>15000</v>
      </c>
      <c r="C10" s="37">
        <v>0</v>
      </c>
    </row>
    <row r="11" spans="1:5" x14ac:dyDescent="0.25">
      <c r="A11" s="29"/>
    </row>
    <row r="12" spans="1:5" ht="15.6" x14ac:dyDescent="0.3">
      <c r="A12" s="30" t="s">
        <v>54</v>
      </c>
    </row>
    <row r="13" spans="1:5" x14ac:dyDescent="0.25">
      <c r="A13" s="29" t="s">
        <v>55</v>
      </c>
      <c r="B13" s="38" t="s">
        <v>49</v>
      </c>
    </row>
    <row r="15" spans="1:5" ht="15.6" x14ac:dyDescent="0.3">
      <c r="A15" s="28" t="s">
        <v>56</v>
      </c>
    </row>
    <row r="16" spans="1:5" x14ac:dyDescent="0.25">
      <c r="A16" s="29" t="s">
        <v>51</v>
      </c>
      <c r="B16" s="39">
        <f xml:space="preserve"> IF(B$13=B$7,B8,C8)</f>
        <v>0.04</v>
      </c>
      <c r="E16" s="32"/>
    </row>
    <row r="17" spans="1:2" x14ac:dyDescent="0.25">
      <c r="A17" s="29" t="s">
        <v>52</v>
      </c>
      <c r="B17" s="40">
        <f t="shared" ref="B17:B18" si="0" xml:space="preserve"> IF(B$13=B$7,B9,C9)</f>
        <v>3</v>
      </c>
    </row>
    <row r="18" spans="1:2" x14ac:dyDescent="0.25">
      <c r="A18" s="29" t="s">
        <v>53</v>
      </c>
      <c r="B18" s="41">
        <f t="shared" si="0"/>
        <v>15000</v>
      </c>
    </row>
    <row r="19" spans="1:2" x14ac:dyDescent="0.25">
      <c r="A19" s="29" t="s">
        <v>62</v>
      </c>
      <c r="B19" s="42">
        <f xml:space="preserve"> IF(B$13=B$7,0,B4*B5)</f>
        <v>0</v>
      </c>
    </row>
    <row r="20" spans="1:2" x14ac:dyDescent="0.25">
      <c r="A20" s="29" t="s">
        <v>57</v>
      </c>
      <c r="B20" s="41">
        <f>B4*B6</f>
        <v>8750</v>
      </c>
    </row>
    <row r="21" spans="1:2" x14ac:dyDescent="0.25">
      <c r="A21" s="29" t="s">
        <v>58</v>
      </c>
      <c r="B21" s="41">
        <f>SUM(B19:B20)</f>
        <v>8750</v>
      </c>
    </row>
    <row r="22" spans="1:2" x14ac:dyDescent="0.25">
      <c r="A22" s="29" t="s">
        <v>59</v>
      </c>
      <c r="B22" s="41">
        <f>B4 - B20</f>
        <v>26250</v>
      </c>
    </row>
    <row r="23" spans="1:2" ht="15.6" x14ac:dyDescent="0.25">
      <c r="A23" s="29" t="s">
        <v>60</v>
      </c>
      <c r="B23" s="43">
        <f xml:space="preserve"> IF(B$13=B$7,PMT(B16/12,B17*12,-B22,B18)*(1+B5), PMT(B16/12,B17*12,-B22))</f>
        <v>410.80569367651577</v>
      </c>
    </row>
    <row r="24" spans="1:2" x14ac:dyDescent="0.25">
      <c r="A24" s="29" t="s">
        <v>61</v>
      </c>
      <c r="B24" s="41">
        <f xml:space="preserve"> B23*(B17*12)+B21</f>
        <v>23539.004972354567</v>
      </c>
    </row>
  </sheetData>
  <mergeCells count="1">
    <mergeCell ref="A1:B1"/>
  </mergeCells>
  <dataValidations count="1">
    <dataValidation type="list" allowBlank="1" showInputMessage="1" showErrorMessage="1" sqref="B13" xr:uid="{FE5E9F6E-209D-46E0-9B27-CE3C07E6AD43}">
      <formula1>B7:C7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B5" sqref="B5"/>
    </sheetView>
  </sheetViews>
  <sheetFormatPr defaultColWidth="8.796875" defaultRowHeight="15.6" x14ac:dyDescent="0.3"/>
  <cols>
    <col min="1" max="1" width="30.69921875" customWidth="1"/>
    <col min="2" max="3" width="15.69921875" customWidth="1"/>
  </cols>
  <sheetData>
    <row r="1" spans="1:3" ht="24.6" x14ac:dyDescent="0.4">
      <c r="A1" s="56" t="s">
        <v>63</v>
      </c>
      <c r="B1" s="56"/>
      <c r="C1" s="27"/>
    </row>
    <row r="2" spans="1:3" x14ac:dyDescent="0.3">
      <c r="A2" s="27"/>
      <c r="B2" s="27"/>
      <c r="C2" s="27"/>
    </row>
    <row r="3" spans="1:3" x14ac:dyDescent="0.3">
      <c r="A3" s="28" t="s">
        <v>0</v>
      </c>
      <c r="B3" s="27"/>
      <c r="C3" s="27"/>
    </row>
    <row r="4" spans="1:3" x14ac:dyDescent="0.3">
      <c r="A4" s="29" t="s">
        <v>65</v>
      </c>
      <c r="B4" s="48">
        <v>200000</v>
      </c>
      <c r="C4" s="27"/>
    </row>
    <row r="5" spans="1:3" x14ac:dyDescent="0.3">
      <c r="A5" s="29" t="s">
        <v>48</v>
      </c>
      <c r="B5" s="49">
        <v>0.1</v>
      </c>
      <c r="C5" s="27"/>
    </row>
    <row r="6" spans="1:3" x14ac:dyDescent="0.3">
      <c r="A6" s="29" t="s">
        <v>51</v>
      </c>
      <c r="B6" s="34">
        <v>3.6999999999999998E-2</v>
      </c>
      <c r="C6" s="27"/>
    </row>
    <row r="7" spans="1:3" x14ac:dyDescent="0.3">
      <c r="A7" s="29" t="s">
        <v>52</v>
      </c>
      <c r="B7" s="50">
        <v>30</v>
      </c>
      <c r="C7" s="45"/>
    </row>
    <row r="8" spans="1:3" x14ac:dyDescent="0.3">
      <c r="A8" s="29" t="s">
        <v>66</v>
      </c>
      <c r="B8" s="37">
        <v>3500</v>
      </c>
      <c r="C8" s="46"/>
    </row>
    <row r="9" spans="1:3" x14ac:dyDescent="0.3">
      <c r="A9" s="29" t="s">
        <v>67</v>
      </c>
      <c r="B9" s="37">
        <v>825</v>
      </c>
      <c r="C9" s="47"/>
    </row>
    <row r="10" spans="1:3" x14ac:dyDescent="0.3">
      <c r="A10" s="29" t="s">
        <v>64</v>
      </c>
      <c r="B10" s="35">
        <v>9.9000000000000008E-3</v>
      </c>
      <c r="C10" s="47"/>
    </row>
    <row r="11" spans="1:3" x14ac:dyDescent="0.3">
      <c r="A11" s="27"/>
      <c r="B11" s="32"/>
      <c r="C11" s="27"/>
    </row>
    <row r="12" spans="1:3" x14ac:dyDescent="0.3">
      <c r="A12" s="28" t="s">
        <v>56</v>
      </c>
      <c r="B12" s="32"/>
      <c r="C12" s="27"/>
    </row>
    <row r="13" spans="1:3" x14ac:dyDescent="0.3">
      <c r="A13" s="29" t="s">
        <v>57</v>
      </c>
      <c r="B13" s="41">
        <f xml:space="preserve"> B4*B5</f>
        <v>20000</v>
      </c>
      <c r="C13" s="27"/>
    </row>
    <row r="14" spans="1:3" x14ac:dyDescent="0.3">
      <c r="A14" s="29" t="s">
        <v>59</v>
      </c>
      <c r="B14" s="41">
        <f>B4-B13</f>
        <v>180000</v>
      </c>
      <c r="C14" s="27"/>
    </row>
    <row r="15" spans="1:3" x14ac:dyDescent="0.3">
      <c r="A15" s="29" t="s">
        <v>68</v>
      </c>
      <c r="B15" s="51">
        <f>PMT(B6/12,B7*12,-B14)</f>
        <v>828.50937247846559</v>
      </c>
      <c r="C15" s="27"/>
    </row>
    <row r="16" spans="1:3" x14ac:dyDescent="0.3">
      <c r="A16" s="29" t="s">
        <v>69</v>
      </c>
      <c r="B16" s="41">
        <f>(B8+B9)/12</f>
        <v>360.41666666666669</v>
      </c>
      <c r="C16" s="27"/>
    </row>
    <row r="17" spans="1:3" x14ac:dyDescent="0.3">
      <c r="A17" s="29" t="s">
        <v>70</v>
      </c>
      <c r="B17" s="39">
        <f>B10*B14/12</f>
        <v>148.50000000000003</v>
      </c>
      <c r="C17" s="27"/>
    </row>
    <row r="18" spans="1:3" x14ac:dyDescent="0.3">
      <c r="A18" s="29" t="s">
        <v>71</v>
      </c>
      <c r="B18" s="43">
        <f>SUM(B15:B17)</f>
        <v>1337.4260391451323</v>
      </c>
      <c r="C18" s="27"/>
    </row>
    <row r="19" spans="1:3" x14ac:dyDescent="0.3">
      <c r="A19" s="29" t="s">
        <v>72</v>
      </c>
      <c r="B19" s="41">
        <f>B15*B7 *12</f>
        <v>298263.37409224763</v>
      </c>
      <c r="C19" s="27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B6" sqref="B6"/>
    </sheetView>
  </sheetViews>
  <sheetFormatPr defaultColWidth="8.796875" defaultRowHeight="15.6" x14ac:dyDescent="0.3"/>
  <cols>
    <col min="1" max="1" width="30.69921875" customWidth="1"/>
    <col min="2" max="3" width="15.69921875" customWidth="1"/>
  </cols>
  <sheetData>
    <row r="1" spans="1:3" ht="24.6" x14ac:dyDescent="0.4">
      <c r="A1" s="53" t="s">
        <v>31</v>
      </c>
      <c r="B1" s="53"/>
      <c r="C1" s="27"/>
    </row>
    <row r="2" spans="1:3" x14ac:dyDescent="0.3">
      <c r="A2" s="27"/>
      <c r="B2" s="27"/>
      <c r="C2" s="27"/>
    </row>
    <row r="3" spans="1:3" x14ac:dyDescent="0.3">
      <c r="A3" s="28" t="s">
        <v>0</v>
      </c>
      <c r="B3" s="27"/>
      <c r="C3" s="27"/>
    </row>
    <row r="4" spans="1:3" x14ac:dyDescent="0.3">
      <c r="A4" s="29" t="s">
        <v>73</v>
      </c>
      <c r="B4" s="48">
        <v>32000</v>
      </c>
      <c r="C4" s="52"/>
    </row>
    <row r="5" spans="1:3" x14ac:dyDescent="0.3">
      <c r="A5" s="29" t="s">
        <v>51</v>
      </c>
      <c r="B5" s="34">
        <v>7.4999999999999997E-2</v>
      </c>
      <c r="C5" s="52"/>
    </row>
    <row r="6" spans="1:3" x14ac:dyDescent="0.3">
      <c r="A6" s="29" t="s">
        <v>52</v>
      </c>
      <c r="B6" s="50">
        <v>12</v>
      </c>
      <c r="C6" s="52"/>
    </row>
    <row r="7" spans="1:3" x14ac:dyDescent="0.3">
      <c r="A7" s="29"/>
      <c r="B7" s="54"/>
      <c r="C7" s="44"/>
    </row>
    <row r="8" spans="1:3" x14ac:dyDescent="0.3">
      <c r="A8" s="28" t="s">
        <v>56</v>
      </c>
      <c r="B8" s="32"/>
      <c r="C8" s="27"/>
    </row>
    <row r="9" spans="1:3" x14ac:dyDescent="0.3">
      <c r="A9" s="29" t="s">
        <v>71</v>
      </c>
      <c r="B9" s="43">
        <f xml:space="preserve"> PMT(B5/12,B6*12,-B4)</f>
        <v>337.67241875786044</v>
      </c>
      <c r="C9" s="27"/>
    </row>
    <row r="10" spans="1:3" x14ac:dyDescent="0.3">
      <c r="A10" s="29" t="s">
        <v>72</v>
      </c>
      <c r="B10" s="41">
        <f>B9*B6*12</f>
        <v>48624.8283011319</v>
      </c>
      <c r="C10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tabSelected="1" workbookViewId="0">
      <selection activeCell="F10" sqref="F10"/>
    </sheetView>
  </sheetViews>
  <sheetFormatPr defaultColWidth="9.19921875" defaultRowHeight="13.2" x14ac:dyDescent="0.25"/>
  <cols>
    <col min="1" max="1" width="31" style="14" bestFit="1" customWidth="1"/>
    <col min="2" max="14" width="12.69921875" style="14" customWidth="1"/>
    <col min="15" max="16384" width="9.19921875" style="14"/>
  </cols>
  <sheetData>
    <row r="1" spans="1:14" s="5" customFormat="1" ht="13.8" thickBot="1" x14ac:dyDescent="0.3">
      <c r="A1" s="1" t="s">
        <v>0</v>
      </c>
      <c r="B1" s="2"/>
      <c r="C1" s="3"/>
      <c r="D1" s="4"/>
      <c r="E1" s="4"/>
      <c r="F1" s="4"/>
      <c r="G1" s="3"/>
      <c r="H1" s="4"/>
      <c r="I1" s="4"/>
      <c r="J1" s="4"/>
      <c r="K1" s="4"/>
      <c r="L1" s="4"/>
      <c r="M1" s="4"/>
      <c r="N1" s="4"/>
    </row>
    <row r="2" spans="1:14" s="5" customFormat="1" ht="13.8" thickBot="1" x14ac:dyDescent="0.3">
      <c r="A2" s="2" t="s">
        <v>1</v>
      </c>
      <c r="B2" s="59">
        <v>98000</v>
      </c>
      <c r="C2" s="57">
        <f>B2/12</f>
        <v>8166.666666666667</v>
      </c>
      <c r="D2" s="4"/>
      <c r="E2" s="4"/>
      <c r="F2" s="4"/>
      <c r="G2" s="3"/>
      <c r="H2" s="4"/>
      <c r="I2" s="4"/>
      <c r="J2" s="4"/>
      <c r="K2" s="4"/>
      <c r="L2" s="4"/>
      <c r="M2" s="4"/>
      <c r="N2" s="4"/>
    </row>
    <row r="3" spans="1:14" s="5" customFormat="1" x14ac:dyDescent="0.25">
      <c r="A3" s="2" t="s">
        <v>2</v>
      </c>
      <c r="B3" s="58">
        <v>0.14199999999999999</v>
      </c>
      <c r="C3" s="7">
        <f>B3*B$2/12</f>
        <v>1159.6666666666665</v>
      </c>
      <c r="D3" s="4"/>
      <c r="E3" s="4"/>
      <c r="F3" s="9"/>
      <c r="G3" s="3"/>
      <c r="H3" s="4"/>
      <c r="I3" s="4"/>
      <c r="J3" s="4"/>
      <c r="K3" s="4"/>
      <c r="L3" s="4"/>
      <c r="M3" s="4"/>
      <c r="N3" s="4"/>
    </row>
    <row r="4" spans="1:14" s="5" customFormat="1" x14ac:dyDescent="0.25">
      <c r="A4" s="2" t="s">
        <v>3</v>
      </c>
      <c r="B4" s="8">
        <v>7.4999999999999997E-2</v>
      </c>
      <c r="C4" s="7">
        <f t="shared" ref="C4:C7" si="0">B4*B$2/12</f>
        <v>612.5</v>
      </c>
      <c r="D4" s="4"/>
      <c r="E4" s="4"/>
      <c r="F4" s="9"/>
      <c r="G4" s="3"/>
      <c r="H4" s="4"/>
      <c r="I4" s="4"/>
      <c r="J4" s="4"/>
      <c r="K4" s="4"/>
      <c r="L4" s="4"/>
      <c r="M4" s="4"/>
      <c r="N4" s="4"/>
    </row>
    <row r="5" spans="1:14" s="5" customFormat="1" x14ac:dyDescent="0.25">
      <c r="A5" s="2" t="s">
        <v>4</v>
      </c>
      <c r="B5" s="8">
        <v>1.7000000000000001E-2</v>
      </c>
      <c r="C5" s="7">
        <f t="shared" si="0"/>
        <v>138.83333333333334</v>
      </c>
      <c r="D5" s="4"/>
      <c r="E5" s="4"/>
      <c r="F5" s="9"/>
      <c r="G5" s="3"/>
      <c r="H5" s="4"/>
      <c r="I5" s="4"/>
      <c r="J5" s="4"/>
      <c r="K5" s="4"/>
      <c r="L5" s="4"/>
      <c r="M5" s="4"/>
      <c r="N5" s="4"/>
    </row>
    <row r="6" spans="1:14" s="5" customFormat="1" x14ac:dyDescent="0.25">
      <c r="A6" s="2" t="s">
        <v>5</v>
      </c>
      <c r="B6" s="8">
        <v>3.2000000000000001E-2</v>
      </c>
      <c r="C6" s="7">
        <f t="shared" si="0"/>
        <v>261.33333333333331</v>
      </c>
      <c r="D6" s="4"/>
      <c r="E6" s="4"/>
      <c r="F6" s="9"/>
      <c r="G6" s="3"/>
      <c r="H6" s="4"/>
      <c r="I6" s="4"/>
      <c r="J6" s="4"/>
      <c r="K6" s="4"/>
      <c r="L6" s="4"/>
      <c r="M6" s="4"/>
      <c r="N6" s="4"/>
    </row>
    <row r="7" spans="1:14" s="5" customFormat="1" x14ac:dyDescent="0.25">
      <c r="A7" s="5" t="s">
        <v>6</v>
      </c>
      <c r="B7" s="8">
        <v>0.03</v>
      </c>
      <c r="C7" s="7">
        <f t="shared" si="0"/>
        <v>245</v>
      </c>
      <c r="D7" s="4"/>
      <c r="E7" s="4"/>
      <c r="F7" s="4"/>
      <c r="G7" s="3"/>
      <c r="H7" s="4"/>
      <c r="I7" s="4"/>
      <c r="J7" s="4"/>
      <c r="K7" s="4"/>
      <c r="L7" s="4"/>
      <c r="M7" s="4"/>
      <c r="N7" s="4"/>
    </row>
    <row r="8" spans="1:14" s="5" customFormat="1" x14ac:dyDescent="0.25">
      <c r="A8" s="1" t="s">
        <v>7</v>
      </c>
      <c r="C8" s="3"/>
      <c r="D8" s="4"/>
      <c r="E8" s="4"/>
      <c r="F8" s="4"/>
      <c r="G8" s="3"/>
      <c r="H8" s="4"/>
      <c r="I8" s="4"/>
      <c r="J8" s="4"/>
      <c r="K8" s="4"/>
      <c r="L8" s="4"/>
      <c r="M8" s="4"/>
      <c r="N8" s="4"/>
    </row>
    <row r="9" spans="1:14" s="5" customFormat="1" x14ac:dyDescent="0.25">
      <c r="A9" s="2" t="s">
        <v>8</v>
      </c>
      <c r="B9" s="6">
        <v>100</v>
      </c>
      <c r="C9" s="3"/>
      <c r="D9" s="4"/>
      <c r="E9" s="4"/>
      <c r="F9" s="4"/>
      <c r="G9" s="3"/>
      <c r="H9" s="4"/>
      <c r="I9" s="4"/>
      <c r="J9" s="4"/>
      <c r="K9" s="4"/>
      <c r="L9" s="4"/>
      <c r="M9" s="4"/>
      <c r="N9" s="4"/>
    </row>
    <row r="10" spans="1:14" s="5" customFormat="1" x14ac:dyDescent="0.25">
      <c r="A10" s="2" t="s">
        <v>9</v>
      </c>
      <c r="B10" s="6">
        <v>5</v>
      </c>
      <c r="C10" s="3"/>
      <c r="D10" s="4"/>
      <c r="E10" s="4"/>
      <c r="F10" s="4"/>
      <c r="G10" s="3"/>
      <c r="H10" s="4"/>
      <c r="I10" s="4"/>
      <c r="J10" s="4"/>
      <c r="K10" s="4"/>
      <c r="L10" s="4"/>
      <c r="M10" s="4"/>
      <c r="N10" s="4"/>
    </row>
    <row r="11" spans="1:14" s="5" customFormat="1" x14ac:dyDescent="0.25">
      <c r="A11" s="2" t="s">
        <v>10</v>
      </c>
      <c r="B11" s="6">
        <v>2.5</v>
      </c>
      <c r="C11" s="3"/>
      <c r="D11" s="4"/>
      <c r="E11" s="4"/>
      <c r="F11" s="4"/>
      <c r="G11" s="3"/>
      <c r="H11" s="4"/>
      <c r="I11" s="4"/>
      <c r="J11" s="4"/>
      <c r="K11" s="4"/>
      <c r="L11" s="4"/>
      <c r="M11" s="4"/>
      <c r="N11" s="4"/>
    </row>
    <row r="12" spans="1:14" s="5" customFormat="1" x14ac:dyDescent="0.25">
      <c r="A12" s="2" t="s">
        <v>11</v>
      </c>
      <c r="B12" s="6">
        <v>20</v>
      </c>
      <c r="C12" s="3"/>
      <c r="D12" s="4"/>
      <c r="E12" s="4"/>
      <c r="F12" s="4"/>
      <c r="G12" s="3"/>
      <c r="H12" s="4"/>
      <c r="I12" s="4"/>
      <c r="J12" s="4"/>
      <c r="K12" s="4"/>
      <c r="L12" s="4"/>
      <c r="M12" s="4"/>
      <c r="N12" s="4"/>
    </row>
    <row r="13" spans="1:14" s="5" customFormat="1" x14ac:dyDescent="0.25">
      <c r="A13" s="2" t="s">
        <v>12</v>
      </c>
      <c r="B13" s="10">
        <v>0.1</v>
      </c>
      <c r="C13" s="7">
        <f>B13*C2</f>
        <v>816.66666666666674</v>
      </c>
      <c r="D13" s="4"/>
      <c r="E13" s="4"/>
      <c r="F13" s="4"/>
      <c r="G13" s="3"/>
      <c r="H13" s="4"/>
      <c r="I13" s="4"/>
      <c r="J13" s="4"/>
      <c r="K13" s="4"/>
      <c r="L13" s="4"/>
      <c r="M13" s="4"/>
      <c r="N13" s="4"/>
    </row>
    <row r="14" spans="1:14" s="5" customFormat="1" x14ac:dyDescent="0.25">
      <c r="D14" s="4"/>
      <c r="E14" s="4"/>
      <c r="F14" s="4"/>
      <c r="G14" s="3"/>
      <c r="H14" s="4"/>
      <c r="I14" s="4"/>
      <c r="J14" s="4"/>
      <c r="K14" s="4"/>
      <c r="L14" s="4"/>
      <c r="M14" s="4"/>
      <c r="N14" s="4"/>
    </row>
    <row r="15" spans="1:14" s="5" customFormat="1" x14ac:dyDescent="0.25">
      <c r="A15" s="5" t="s">
        <v>13</v>
      </c>
      <c r="B15" s="11">
        <f>C15/C2</f>
        <v>0.58838775510204078</v>
      </c>
      <c r="C15" s="7">
        <f>C2-SUM(C3:C7,B9:B12,C13)</f>
        <v>4805.166666666667</v>
      </c>
      <c r="D15" s="4"/>
      <c r="E15" s="4"/>
      <c r="F15" s="4"/>
      <c r="G15" s="3"/>
      <c r="H15" s="4"/>
      <c r="I15" s="4"/>
      <c r="J15" s="4"/>
      <c r="K15" s="4"/>
      <c r="L15" s="4"/>
      <c r="M15" s="4"/>
      <c r="N15" s="4"/>
    </row>
    <row r="16" spans="1:14" s="5" customFormat="1" x14ac:dyDescent="0.25">
      <c r="C16" s="3"/>
      <c r="D16" s="4"/>
      <c r="E16" s="4"/>
      <c r="F16" s="4"/>
      <c r="G16" s="3"/>
      <c r="H16" s="4"/>
      <c r="I16" s="4"/>
      <c r="J16" s="4"/>
      <c r="K16" s="4"/>
      <c r="L16" s="4"/>
      <c r="M16" s="4"/>
      <c r="N16" s="4"/>
    </row>
    <row r="17" spans="1:16" x14ac:dyDescent="0.25">
      <c r="A17" s="12"/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  <c r="H17" s="13" t="s">
        <v>20</v>
      </c>
      <c r="I17" s="13" t="s">
        <v>21</v>
      </c>
      <c r="J17" s="13" t="s">
        <v>22</v>
      </c>
      <c r="K17" s="13" t="s">
        <v>23</v>
      </c>
      <c r="L17" s="13" t="s">
        <v>24</v>
      </c>
      <c r="M17" s="13" t="s">
        <v>25</v>
      </c>
      <c r="N17" s="13" t="s">
        <v>26</v>
      </c>
    </row>
    <row r="18" spans="1:16" x14ac:dyDescent="0.25">
      <c r="A18" s="15" t="s">
        <v>27</v>
      </c>
      <c r="B18" s="16">
        <f>SUM(C18:N18)</f>
        <v>57661.999999999993</v>
      </c>
      <c r="C18" s="17">
        <f>C15</f>
        <v>4805.166666666667</v>
      </c>
      <c r="D18" s="17">
        <f>C18</f>
        <v>4805.166666666667</v>
      </c>
      <c r="E18" s="17">
        <f t="shared" ref="E18:N18" si="1">D18</f>
        <v>4805.166666666667</v>
      </c>
      <c r="F18" s="17">
        <f t="shared" si="1"/>
        <v>4805.166666666667</v>
      </c>
      <c r="G18" s="17">
        <f t="shared" si="1"/>
        <v>4805.166666666667</v>
      </c>
      <c r="H18" s="17">
        <f t="shared" si="1"/>
        <v>4805.166666666667</v>
      </c>
      <c r="I18" s="17">
        <f t="shared" si="1"/>
        <v>4805.166666666667</v>
      </c>
      <c r="J18" s="17">
        <f t="shared" si="1"/>
        <v>4805.166666666667</v>
      </c>
      <c r="K18" s="17">
        <f t="shared" si="1"/>
        <v>4805.166666666667</v>
      </c>
      <c r="L18" s="17">
        <f t="shared" si="1"/>
        <v>4805.166666666667</v>
      </c>
      <c r="M18" s="17">
        <f t="shared" si="1"/>
        <v>4805.166666666667</v>
      </c>
      <c r="N18" s="17">
        <f t="shared" si="1"/>
        <v>4805.166666666667</v>
      </c>
    </row>
    <row r="19" spans="1:16" x14ac:dyDescent="0.25">
      <c r="A19" s="15" t="s">
        <v>28</v>
      </c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6" ht="15" customHeight="1" x14ac:dyDescent="0.25">
      <c r="A20" s="19" t="s">
        <v>29</v>
      </c>
      <c r="B20" s="16">
        <f t="shared" ref="B20:B36" si="2">SUM(C20:N20)</f>
        <v>16049.112469741585</v>
      </c>
      <c r="C20" s="20">
        <f>Mortgage!B18</f>
        <v>1337.4260391451323</v>
      </c>
      <c r="D20" s="17">
        <f>C20</f>
        <v>1337.4260391451323</v>
      </c>
      <c r="E20" s="17">
        <f t="shared" ref="E20:N20" si="3">D20</f>
        <v>1337.4260391451323</v>
      </c>
      <c r="F20" s="17">
        <f t="shared" si="3"/>
        <v>1337.4260391451323</v>
      </c>
      <c r="G20" s="17">
        <f t="shared" si="3"/>
        <v>1337.4260391451323</v>
      </c>
      <c r="H20" s="17">
        <f t="shared" si="3"/>
        <v>1337.4260391451323</v>
      </c>
      <c r="I20" s="17">
        <f t="shared" si="3"/>
        <v>1337.4260391451323</v>
      </c>
      <c r="J20" s="17">
        <f t="shared" si="3"/>
        <v>1337.4260391451323</v>
      </c>
      <c r="K20" s="17">
        <f t="shared" si="3"/>
        <v>1337.4260391451323</v>
      </c>
      <c r="L20" s="17">
        <f t="shared" si="3"/>
        <v>1337.4260391451323</v>
      </c>
      <c r="M20" s="17">
        <f t="shared" si="3"/>
        <v>1337.4260391451323</v>
      </c>
      <c r="N20" s="17">
        <f t="shared" si="3"/>
        <v>1337.4260391451323</v>
      </c>
      <c r="P20" s="21"/>
    </row>
    <row r="21" spans="1:16" x14ac:dyDescent="0.25">
      <c r="A21" s="19" t="s">
        <v>30</v>
      </c>
      <c r="B21" s="16">
        <f t="shared" si="2"/>
        <v>4929.668324118189</v>
      </c>
      <c r="C21" s="20">
        <f>'Car Loan'!B23</f>
        <v>410.80569367651577</v>
      </c>
      <c r="D21" s="17">
        <f t="shared" ref="D21:N22" si="4">C21</f>
        <v>410.80569367651577</v>
      </c>
      <c r="E21" s="17">
        <f t="shared" si="4"/>
        <v>410.80569367651577</v>
      </c>
      <c r="F21" s="17">
        <f t="shared" si="4"/>
        <v>410.80569367651577</v>
      </c>
      <c r="G21" s="17">
        <f t="shared" si="4"/>
        <v>410.80569367651577</v>
      </c>
      <c r="H21" s="22">
        <f t="shared" si="4"/>
        <v>410.80569367651577</v>
      </c>
      <c r="I21" s="17">
        <f t="shared" si="4"/>
        <v>410.80569367651577</v>
      </c>
      <c r="J21" s="17">
        <f t="shared" si="4"/>
        <v>410.80569367651577</v>
      </c>
      <c r="K21" s="17">
        <f t="shared" si="4"/>
        <v>410.80569367651577</v>
      </c>
      <c r="L21" s="17">
        <f t="shared" si="4"/>
        <v>410.80569367651577</v>
      </c>
      <c r="M21" s="17">
        <f t="shared" si="4"/>
        <v>410.80569367651577</v>
      </c>
      <c r="N21" s="17">
        <f t="shared" si="4"/>
        <v>410.80569367651577</v>
      </c>
      <c r="P21" s="21"/>
    </row>
    <row r="22" spans="1:16" x14ac:dyDescent="0.25">
      <c r="A22" s="19" t="s">
        <v>31</v>
      </c>
      <c r="B22" s="16">
        <f t="shared" si="2"/>
        <v>4052.0690250943244</v>
      </c>
      <c r="C22" s="20">
        <f>'Student Loan'!B9</f>
        <v>337.67241875786044</v>
      </c>
      <c r="D22" s="17">
        <f t="shared" si="4"/>
        <v>337.67241875786044</v>
      </c>
      <c r="E22" s="17">
        <f t="shared" si="4"/>
        <v>337.67241875786044</v>
      </c>
      <c r="F22" s="17">
        <f t="shared" si="4"/>
        <v>337.67241875786044</v>
      </c>
      <c r="G22" s="17">
        <f t="shared" si="4"/>
        <v>337.67241875786044</v>
      </c>
      <c r="H22" s="17">
        <f t="shared" si="4"/>
        <v>337.67241875786044</v>
      </c>
      <c r="I22" s="17">
        <f t="shared" si="4"/>
        <v>337.67241875786044</v>
      </c>
      <c r="J22" s="17">
        <f t="shared" si="4"/>
        <v>337.67241875786044</v>
      </c>
      <c r="K22" s="17">
        <f t="shared" si="4"/>
        <v>337.67241875786044</v>
      </c>
      <c r="L22" s="17">
        <f t="shared" si="4"/>
        <v>337.67241875786044</v>
      </c>
      <c r="M22" s="17">
        <f t="shared" si="4"/>
        <v>337.67241875786044</v>
      </c>
      <c r="N22" s="17">
        <f t="shared" si="4"/>
        <v>337.67241875786044</v>
      </c>
      <c r="P22" s="21"/>
    </row>
    <row r="23" spans="1:16" x14ac:dyDescent="0.25">
      <c r="A23" s="23" t="s">
        <v>32</v>
      </c>
      <c r="B23" s="16">
        <f t="shared" si="2"/>
        <v>32631.15018104589</v>
      </c>
      <c r="C23" s="24">
        <f>C18-SUM(C20:C22)</f>
        <v>2719.2625150871581</v>
      </c>
      <c r="D23" s="24">
        <f t="shared" ref="D23:N23" si="5">D18-SUM(D20:D22)</f>
        <v>2719.2625150871581</v>
      </c>
      <c r="E23" s="24">
        <f t="shared" si="5"/>
        <v>2719.2625150871581</v>
      </c>
      <c r="F23" s="24">
        <f t="shared" si="5"/>
        <v>2719.2625150871581</v>
      </c>
      <c r="G23" s="24">
        <f t="shared" si="5"/>
        <v>2719.2625150871581</v>
      </c>
      <c r="H23" s="24">
        <f t="shared" si="5"/>
        <v>2719.2625150871581</v>
      </c>
      <c r="I23" s="24">
        <f t="shared" si="5"/>
        <v>2719.2625150871581</v>
      </c>
      <c r="J23" s="24">
        <f t="shared" si="5"/>
        <v>2719.2625150871581</v>
      </c>
      <c r="K23" s="24">
        <f t="shared" si="5"/>
        <v>2719.2625150871581</v>
      </c>
      <c r="L23" s="24">
        <f t="shared" si="5"/>
        <v>2719.2625150871581</v>
      </c>
      <c r="M23" s="24">
        <f t="shared" si="5"/>
        <v>2719.2625150871581</v>
      </c>
      <c r="N23" s="24">
        <f t="shared" si="5"/>
        <v>2719.2625150871581</v>
      </c>
      <c r="P23" s="21"/>
    </row>
    <row r="24" spans="1:16" x14ac:dyDescent="0.25">
      <c r="A24" s="15" t="s">
        <v>33</v>
      </c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P24" s="21"/>
    </row>
    <row r="25" spans="1:16" x14ac:dyDescent="0.25">
      <c r="A25" s="19" t="s">
        <v>34</v>
      </c>
      <c r="B25" s="16">
        <f t="shared" si="2"/>
        <v>1500</v>
      </c>
      <c r="C25" s="17">
        <v>125</v>
      </c>
      <c r="D25" s="17">
        <f>C25</f>
        <v>125</v>
      </c>
      <c r="E25" s="17">
        <f t="shared" ref="E25:N27" si="6">D25</f>
        <v>125</v>
      </c>
      <c r="F25" s="17">
        <f t="shared" si="6"/>
        <v>125</v>
      </c>
      <c r="G25" s="17">
        <f t="shared" si="6"/>
        <v>125</v>
      </c>
      <c r="H25" s="17">
        <f t="shared" si="6"/>
        <v>125</v>
      </c>
      <c r="I25" s="17">
        <f t="shared" si="6"/>
        <v>125</v>
      </c>
      <c r="J25" s="17">
        <f t="shared" si="6"/>
        <v>125</v>
      </c>
      <c r="K25" s="17">
        <f t="shared" si="6"/>
        <v>125</v>
      </c>
      <c r="L25" s="17">
        <f t="shared" si="6"/>
        <v>125</v>
      </c>
      <c r="M25" s="17">
        <f t="shared" si="6"/>
        <v>125</v>
      </c>
      <c r="N25" s="17">
        <f t="shared" si="6"/>
        <v>125</v>
      </c>
      <c r="P25" s="21"/>
    </row>
    <row r="26" spans="1:16" x14ac:dyDescent="0.25">
      <c r="A26" s="19" t="s">
        <v>35</v>
      </c>
      <c r="B26" s="16">
        <f t="shared" si="2"/>
        <v>660</v>
      </c>
      <c r="C26" s="17">
        <v>55</v>
      </c>
      <c r="D26" s="17">
        <f t="shared" ref="D26:D27" si="7">C26</f>
        <v>55</v>
      </c>
      <c r="E26" s="17">
        <f t="shared" si="6"/>
        <v>55</v>
      </c>
      <c r="F26" s="17">
        <f t="shared" si="6"/>
        <v>55</v>
      </c>
      <c r="G26" s="17">
        <f t="shared" si="6"/>
        <v>55</v>
      </c>
      <c r="H26" s="17">
        <f t="shared" si="6"/>
        <v>55</v>
      </c>
      <c r="I26" s="17">
        <f t="shared" si="6"/>
        <v>55</v>
      </c>
      <c r="J26" s="17">
        <f t="shared" si="6"/>
        <v>55</v>
      </c>
      <c r="K26" s="17">
        <f t="shared" si="6"/>
        <v>55</v>
      </c>
      <c r="L26" s="17">
        <f t="shared" si="6"/>
        <v>55</v>
      </c>
      <c r="M26" s="17">
        <f t="shared" si="6"/>
        <v>55</v>
      </c>
      <c r="N26" s="17">
        <f t="shared" si="6"/>
        <v>55</v>
      </c>
      <c r="P26" s="21"/>
    </row>
    <row r="27" spans="1:16" x14ac:dyDescent="0.25">
      <c r="A27" s="19" t="s">
        <v>36</v>
      </c>
      <c r="B27" s="16">
        <f t="shared" si="2"/>
        <v>360</v>
      </c>
      <c r="C27" s="17">
        <v>30</v>
      </c>
      <c r="D27" s="17">
        <f t="shared" si="7"/>
        <v>30</v>
      </c>
      <c r="E27" s="17">
        <f t="shared" si="6"/>
        <v>30</v>
      </c>
      <c r="F27" s="17">
        <f t="shared" si="6"/>
        <v>30</v>
      </c>
      <c r="G27" s="17">
        <f t="shared" si="6"/>
        <v>30</v>
      </c>
      <c r="H27" s="17">
        <f t="shared" si="6"/>
        <v>30</v>
      </c>
      <c r="I27" s="17">
        <f t="shared" si="6"/>
        <v>30</v>
      </c>
      <c r="J27" s="17">
        <f t="shared" si="6"/>
        <v>30</v>
      </c>
      <c r="K27" s="17">
        <f t="shared" si="6"/>
        <v>30</v>
      </c>
      <c r="L27" s="17">
        <f t="shared" si="6"/>
        <v>30</v>
      </c>
      <c r="M27" s="17">
        <f t="shared" si="6"/>
        <v>30</v>
      </c>
      <c r="N27" s="17">
        <f t="shared" si="6"/>
        <v>30</v>
      </c>
      <c r="P27" s="21"/>
    </row>
    <row r="28" spans="1:16" x14ac:dyDescent="0.25">
      <c r="A28" s="19" t="s">
        <v>37</v>
      </c>
      <c r="B28" s="16">
        <f t="shared" si="2"/>
        <v>320</v>
      </c>
      <c r="C28" s="17"/>
      <c r="D28" s="17"/>
      <c r="E28" s="17">
        <v>80</v>
      </c>
      <c r="F28" s="17"/>
      <c r="G28" s="17"/>
      <c r="H28" s="17">
        <v>80</v>
      </c>
      <c r="I28" s="17"/>
      <c r="J28" s="17"/>
      <c r="K28" s="17">
        <v>80</v>
      </c>
      <c r="L28" s="17"/>
      <c r="M28" s="17"/>
      <c r="N28" s="17">
        <v>80</v>
      </c>
      <c r="P28" s="21"/>
    </row>
    <row r="29" spans="1:16" x14ac:dyDescent="0.25">
      <c r="A29" s="19" t="s">
        <v>38</v>
      </c>
      <c r="B29" s="16">
        <f t="shared" si="2"/>
        <v>900</v>
      </c>
      <c r="C29" s="17">
        <v>75</v>
      </c>
      <c r="D29" s="17">
        <f>C29</f>
        <v>75</v>
      </c>
      <c r="E29" s="17">
        <f t="shared" ref="E29:N29" si="8">D29</f>
        <v>75</v>
      </c>
      <c r="F29" s="17">
        <f t="shared" si="8"/>
        <v>75</v>
      </c>
      <c r="G29" s="17">
        <f t="shared" si="8"/>
        <v>75</v>
      </c>
      <c r="H29" s="17">
        <f t="shared" si="8"/>
        <v>75</v>
      </c>
      <c r="I29" s="17">
        <f t="shared" si="8"/>
        <v>75</v>
      </c>
      <c r="J29" s="17">
        <f t="shared" si="8"/>
        <v>75</v>
      </c>
      <c r="K29" s="17">
        <f t="shared" si="8"/>
        <v>75</v>
      </c>
      <c r="L29" s="17">
        <f t="shared" si="8"/>
        <v>75</v>
      </c>
      <c r="M29" s="17">
        <f t="shared" si="8"/>
        <v>75</v>
      </c>
      <c r="N29" s="17">
        <f t="shared" si="8"/>
        <v>75</v>
      </c>
      <c r="P29" s="21"/>
    </row>
    <row r="30" spans="1:16" x14ac:dyDescent="0.25">
      <c r="A30" s="19" t="s">
        <v>39</v>
      </c>
      <c r="B30" s="16">
        <f t="shared" si="2"/>
        <v>1200</v>
      </c>
      <c r="C30" s="17">
        <v>600</v>
      </c>
      <c r="D30" s="17"/>
      <c r="E30" s="17"/>
      <c r="F30" s="17"/>
      <c r="G30" s="17"/>
      <c r="H30" s="17"/>
      <c r="I30" s="17">
        <v>600</v>
      </c>
      <c r="J30" s="17"/>
      <c r="K30" s="17"/>
      <c r="L30" s="17"/>
      <c r="M30" s="17"/>
      <c r="N30" s="17"/>
      <c r="P30" s="21"/>
    </row>
    <row r="31" spans="1:16" x14ac:dyDescent="0.25">
      <c r="A31" s="23" t="s">
        <v>32</v>
      </c>
      <c r="B31" s="16">
        <f t="shared" si="2"/>
        <v>27691.15018104589</v>
      </c>
      <c r="C31" s="24">
        <f t="shared" ref="C31:N31" si="9">C23-SUM(C25:C30)</f>
        <v>1834.2625150871581</v>
      </c>
      <c r="D31" s="24">
        <f t="shared" si="9"/>
        <v>2434.2625150871581</v>
      </c>
      <c r="E31" s="24">
        <f t="shared" si="9"/>
        <v>2354.2625150871581</v>
      </c>
      <c r="F31" s="24">
        <f t="shared" si="9"/>
        <v>2434.2625150871581</v>
      </c>
      <c r="G31" s="24">
        <f t="shared" si="9"/>
        <v>2434.2625150871581</v>
      </c>
      <c r="H31" s="24">
        <f t="shared" si="9"/>
        <v>2354.2625150871581</v>
      </c>
      <c r="I31" s="24">
        <f t="shared" si="9"/>
        <v>1834.2625150871581</v>
      </c>
      <c r="J31" s="24">
        <f t="shared" si="9"/>
        <v>2434.2625150871581</v>
      </c>
      <c r="K31" s="24">
        <f t="shared" si="9"/>
        <v>2354.2625150871581</v>
      </c>
      <c r="L31" s="24">
        <f t="shared" si="9"/>
        <v>2434.2625150871581</v>
      </c>
      <c r="M31" s="24">
        <f t="shared" si="9"/>
        <v>2434.2625150871581</v>
      </c>
      <c r="N31" s="24">
        <f t="shared" si="9"/>
        <v>2354.2625150871581</v>
      </c>
      <c r="P31" s="21"/>
    </row>
    <row r="32" spans="1:16" x14ac:dyDescent="0.25">
      <c r="A32" s="15" t="s">
        <v>40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P32" s="21"/>
    </row>
    <row r="33" spans="1:14" ht="15" customHeight="1" x14ac:dyDescent="0.25">
      <c r="A33" s="19" t="s">
        <v>41</v>
      </c>
      <c r="B33" s="16">
        <f t="shared" si="2"/>
        <v>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19" t="s">
        <v>42</v>
      </c>
      <c r="B34" s="16">
        <f t="shared" si="2"/>
        <v>0</v>
      </c>
      <c r="C34" s="2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19" t="s">
        <v>43</v>
      </c>
      <c r="B35" s="16">
        <f t="shared" si="2"/>
        <v>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19" t="s">
        <v>44</v>
      </c>
      <c r="B36" s="16">
        <f t="shared" si="2"/>
        <v>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Loan</vt:lpstr>
      <vt:lpstr>Mortgage</vt:lpstr>
      <vt:lpstr>Student Loan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Kelland Goodin</cp:lastModifiedBy>
  <cp:lastPrinted>2018-08-06T17:11:23Z</cp:lastPrinted>
  <dcterms:created xsi:type="dcterms:W3CDTF">2018-05-15T14:40:57Z</dcterms:created>
  <dcterms:modified xsi:type="dcterms:W3CDTF">2020-11-18T02:09:24Z</dcterms:modified>
</cp:coreProperties>
</file>