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ysteme\Raccourcis bureau\Documents\Cours\S3\E32\2020_10_15 TD TP 2\"/>
    </mc:Choice>
  </mc:AlternateContent>
  <xr:revisionPtr revIDLastSave="0" documentId="13_ncr:1_{88E6F399-BEEA-460E-BEBB-F32EE14BCD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C70" i="1"/>
  <c r="G70" i="1" s="1"/>
  <c r="F70" i="1"/>
  <c r="E70" i="1"/>
  <c r="D70" i="1"/>
  <c r="B70" i="1"/>
  <c r="F69" i="1"/>
  <c r="E69" i="1"/>
  <c r="D69" i="1"/>
  <c r="C69" i="1"/>
  <c r="B69" i="1"/>
  <c r="D62" i="1"/>
  <c r="F68" i="1"/>
  <c r="E68" i="1"/>
  <c r="C68" i="1"/>
  <c r="F64" i="1"/>
  <c r="E64" i="1"/>
  <c r="E65" i="1" s="1"/>
  <c r="E67" i="1" s="1"/>
  <c r="D64" i="1"/>
  <c r="D65" i="1" s="1"/>
  <c r="D67" i="1" s="1"/>
  <c r="D68" i="1" s="1"/>
  <c r="C64" i="1"/>
  <c r="B68" i="1"/>
  <c r="F66" i="1"/>
  <c r="E66" i="1"/>
  <c r="D66" i="1"/>
  <c r="C66" i="1"/>
  <c r="F65" i="1"/>
  <c r="F67" i="1" s="1"/>
  <c r="C65" i="1"/>
  <c r="C67" i="1" s="1"/>
  <c r="F63" i="1"/>
  <c r="E63" i="1"/>
  <c r="D63" i="1"/>
  <c r="C63" i="1"/>
  <c r="F62" i="1"/>
  <c r="E62" i="1"/>
  <c r="C62" i="1"/>
  <c r="F61" i="1"/>
  <c r="E61" i="1"/>
  <c r="D61" i="1"/>
  <c r="C61" i="1"/>
  <c r="F57" i="1"/>
  <c r="E57" i="1"/>
  <c r="D57" i="1"/>
  <c r="B59" i="1"/>
  <c r="B53" i="1"/>
  <c r="G48" i="1"/>
  <c r="G47" i="1"/>
  <c r="G46" i="1"/>
  <c r="F47" i="1"/>
  <c r="F48" i="1"/>
  <c r="F46" i="1"/>
  <c r="F45" i="1"/>
  <c r="E47" i="1"/>
  <c r="E48" i="1"/>
  <c r="E45" i="1"/>
  <c r="E46" i="1" s="1"/>
  <c r="D47" i="1"/>
  <c r="D48" i="1"/>
  <c r="D46" i="1"/>
  <c r="D45" i="1"/>
  <c r="C47" i="1"/>
  <c r="C48" i="1"/>
  <c r="C46" i="1"/>
  <c r="S38" i="1" l="1"/>
  <c r="R38" i="1"/>
  <c r="Q38" i="1"/>
  <c r="P38" i="1"/>
  <c r="O38" i="1"/>
  <c r="N38" i="1"/>
  <c r="S37" i="1"/>
  <c r="R37" i="1"/>
  <c r="Q37" i="1"/>
  <c r="P37" i="1"/>
  <c r="O37" i="1"/>
  <c r="N37" i="1"/>
  <c r="I38" i="1"/>
  <c r="H38" i="1"/>
  <c r="G38" i="1"/>
  <c r="F38" i="1"/>
  <c r="E38" i="1"/>
  <c r="D38" i="1"/>
  <c r="I37" i="1"/>
  <c r="H37" i="1"/>
  <c r="G37" i="1"/>
  <c r="F37" i="1"/>
  <c r="E37" i="1"/>
  <c r="D37" i="1"/>
  <c r="E35" i="1"/>
  <c r="D35" i="1"/>
  <c r="S36" i="1"/>
  <c r="Q36" i="1"/>
  <c r="R36" i="1" s="1"/>
  <c r="P36" i="1"/>
  <c r="O36" i="1"/>
  <c r="N36" i="1"/>
  <c r="E36" i="1"/>
  <c r="F36" i="1" s="1"/>
  <c r="G36" i="1" s="1"/>
  <c r="H36" i="1" s="1"/>
  <c r="I36" i="1" s="1"/>
  <c r="D36" i="1"/>
  <c r="E31" i="1"/>
  <c r="E29" i="1"/>
  <c r="S27" i="1"/>
  <c r="O30" i="1"/>
  <c r="P30" i="1" s="1"/>
  <c r="Q30" i="1" s="1"/>
  <c r="R30" i="1" s="1"/>
  <c r="S30" i="1" s="1"/>
  <c r="I29" i="1" l="1"/>
  <c r="H29" i="1"/>
  <c r="S29" i="1"/>
  <c r="R29" i="1"/>
  <c r="Q29" i="1"/>
  <c r="P29" i="1"/>
  <c r="O29" i="1"/>
  <c r="N28" i="1"/>
  <c r="N31" i="1" s="1"/>
  <c r="S28" i="1"/>
  <c r="R27" i="1"/>
  <c r="Q27" i="1"/>
  <c r="P27" i="1"/>
  <c r="O27" i="1"/>
  <c r="N27" i="1"/>
  <c r="E28" i="1"/>
  <c r="E32" i="1" s="1"/>
  <c r="F28" i="1"/>
  <c r="G28" i="1"/>
  <c r="H28" i="1"/>
  <c r="I28" i="1"/>
  <c r="E27" i="1"/>
  <c r="F27" i="1"/>
  <c r="G27" i="1"/>
  <c r="H27" i="1"/>
  <c r="I27" i="1"/>
  <c r="D27" i="1"/>
  <c r="G29" i="1"/>
  <c r="F29" i="1"/>
  <c r="P28" i="1" l="1"/>
  <c r="P31" i="1" s="1"/>
  <c r="O28" i="1"/>
  <c r="O31" i="1" s="1"/>
  <c r="O32" i="1" s="1"/>
  <c r="Q28" i="1"/>
  <c r="Q31" i="1" s="1"/>
  <c r="Q32" i="1" s="1"/>
  <c r="Q33" i="1" s="1"/>
  <c r="R28" i="1"/>
  <c r="R31" i="1" s="1"/>
  <c r="D28" i="1"/>
  <c r="D31" i="1" s="1"/>
  <c r="D32" i="1" s="1"/>
  <c r="D33" i="1" s="1"/>
  <c r="G31" i="1"/>
  <c r="G32" i="1" s="1"/>
  <c r="G35" i="1" s="1"/>
  <c r="F31" i="1"/>
  <c r="F32" i="1" s="1"/>
  <c r="F35" i="1" s="1"/>
  <c r="S31" i="1"/>
  <c r="N32" i="1"/>
  <c r="N35" i="1" s="1"/>
  <c r="I31" i="1"/>
  <c r="I32" i="1" s="1"/>
  <c r="I33" i="1" s="1"/>
  <c r="H31" i="1"/>
  <c r="H32" i="1" s="1"/>
  <c r="H33" i="1" s="1"/>
  <c r="E33" i="1"/>
  <c r="N33" i="1" l="1"/>
  <c r="O33" i="1"/>
  <c r="O35" i="1"/>
  <c r="Q35" i="1"/>
  <c r="H35" i="1"/>
  <c r="I35" i="1"/>
  <c r="G33" i="1"/>
  <c r="F33" i="1"/>
  <c r="R32" i="1"/>
  <c r="S32" i="1"/>
  <c r="P32" i="1"/>
  <c r="R33" i="1" l="1"/>
  <c r="R35" i="1"/>
  <c r="P33" i="1"/>
  <c r="P35" i="1"/>
  <c r="S33" i="1"/>
  <c r="S35" i="1"/>
</calcChain>
</file>

<file path=xl/sharedStrings.xml><?xml version="1.0" encoding="utf-8"?>
<sst xmlns="http://schemas.openxmlformats.org/spreadsheetml/2006/main" count="106" uniqueCount="68">
  <si>
    <t>Projet 1 :</t>
  </si>
  <si>
    <t>Projet 2 :</t>
  </si>
  <si>
    <t>chiffre d'affaires</t>
  </si>
  <si>
    <t>marge sur cout variable</t>
  </si>
  <si>
    <t>charges de structure</t>
  </si>
  <si>
    <t>dont dotations aux amortissements</t>
  </si>
  <si>
    <t>Prévisions projet 1 :</t>
  </si>
  <si>
    <t>augmentation du chiffre d'affaires de 100 000€ la première année puis de 50 000€ par an</t>
  </si>
  <si>
    <t>le taux de marge sur coût variable reste identique</t>
  </si>
  <si>
    <t>les charges de structure (hors amortissement) sont estimées à :</t>
  </si>
  <si>
    <t>extension des locaux existants pour un coût de :</t>
  </si>
  <si>
    <t>construction d'un nouveau site pour un coût estimé à :</t>
  </si>
  <si>
    <t>année</t>
  </si>
  <si>
    <t>N+1</t>
  </si>
  <si>
    <t>N+2</t>
  </si>
  <si>
    <t>N+3</t>
  </si>
  <si>
    <t>N+4</t>
  </si>
  <si>
    <t>charges fixes</t>
  </si>
  <si>
    <t>N+5</t>
  </si>
  <si>
    <t>CA</t>
  </si>
  <si>
    <t>-CV</t>
  </si>
  <si>
    <t>-CF (hors dap)</t>
  </si>
  <si>
    <t>années</t>
  </si>
  <si>
    <t>-DAP</t>
  </si>
  <si>
    <t>= RCAI</t>
  </si>
  <si>
    <t>-IS (33,33%)</t>
  </si>
  <si>
    <t>=résultat net</t>
  </si>
  <si>
    <t>FNT actualisé</t>
  </si>
  <si>
    <t>en k€</t>
  </si>
  <si>
    <t>en €</t>
  </si>
  <si>
    <t>=MS/CV</t>
  </si>
  <si>
    <t>Prévisions projet 2 :</t>
  </si>
  <si>
    <t>augmentation du chiffre d'affaires de 140 000€ la première année puis de 140 000€ par an</t>
  </si>
  <si>
    <t>les charges de structure hors amortissements sont estimées à :</t>
  </si>
  <si>
    <t>N</t>
  </si>
  <si>
    <t>coût :</t>
  </si>
  <si>
    <t>Coût :</t>
  </si>
  <si>
    <t>FNT</t>
  </si>
  <si>
    <t>FNT cumulé</t>
  </si>
  <si>
    <t>FNT actualisé cumulé</t>
  </si>
  <si>
    <t>Cas 2 :</t>
  </si>
  <si>
    <t>annuité : -vpm</t>
  </si>
  <si>
    <t>Année</t>
  </si>
  <si>
    <t>capital restant du</t>
  </si>
  <si>
    <t>interet</t>
  </si>
  <si>
    <t>remboursement</t>
  </si>
  <si>
    <t>annuité</t>
  </si>
  <si>
    <t>investissement</t>
  </si>
  <si>
    <t>durée amortissement</t>
  </si>
  <si>
    <t>montant amortissement</t>
  </si>
  <si>
    <t>TIR</t>
  </si>
  <si>
    <t>VAN</t>
  </si>
  <si>
    <t>Taux actualisation</t>
  </si>
  <si>
    <t>Encaissements</t>
  </si>
  <si>
    <t>Décaissements</t>
  </si>
  <si>
    <t>FI INVEST</t>
  </si>
  <si>
    <t>charges hors intérêts</t>
  </si>
  <si>
    <t>amort</t>
  </si>
  <si>
    <t>charges décaissés</t>
  </si>
  <si>
    <t>intérêts</t>
  </si>
  <si>
    <t>résultat</t>
  </si>
  <si>
    <t>IS</t>
  </si>
  <si>
    <t>total décaissement</t>
  </si>
  <si>
    <t>S FNT</t>
  </si>
  <si>
    <t>Flux actualisés</t>
  </si>
  <si>
    <t>emprunt</t>
  </si>
  <si>
    <t>durée</t>
  </si>
  <si>
    <t>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</si>
</sst>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\ _€;[Red]\-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6" fontId="0" fillId="0" borderId="0" xfId="0" applyNumberFormat="1"/>
    <xf numFmtId="0" fontId="0" fillId="0" borderId="5" xfId="0" applyBorder="1" applyAlignment="1">
      <alignment horizontal="center" vertical="center"/>
    </xf>
    <xf numFmtId="164" fontId="0" fillId="0" borderId="0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left" vertical="center"/>
    </xf>
    <xf numFmtId="164" fontId="0" fillId="0" borderId="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2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6" xfId="0" applyBorder="1"/>
    <xf numFmtId="0" fontId="1" fillId="0" borderId="10" xfId="0" applyFont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1" fillId="0" borderId="1" xfId="0" applyFont="1" applyBorder="1"/>
    <xf numFmtId="8" fontId="0" fillId="0" borderId="2" xfId="0" applyNumberFormat="1" applyBorder="1"/>
    <xf numFmtId="8" fontId="0" fillId="0" borderId="12" xfId="0" applyNumberFormat="1" applyBorder="1"/>
    <xf numFmtId="8" fontId="0" fillId="0" borderId="0" xfId="0" applyNumberFormat="1" applyBorder="1"/>
    <xf numFmtId="8" fontId="0" fillId="0" borderId="8" xfId="0" applyNumberFormat="1" applyBorder="1"/>
    <xf numFmtId="8" fontId="0" fillId="0" borderId="6" xfId="0" applyNumberFormat="1" applyBorder="1"/>
    <xf numFmtId="8" fontId="0" fillId="0" borderId="7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0" xfId="0" applyNumberFormat="1"/>
    <xf numFmtId="0" fontId="1" fillId="0" borderId="13" xfId="0" applyFont="1" applyFill="1" applyBorder="1"/>
    <xf numFmtId="0" fontId="1" fillId="0" borderId="4" xfId="0" applyFont="1" applyFill="1" applyBorder="1"/>
    <xf numFmtId="0" fontId="1" fillId="0" borderId="14" xfId="0" applyFont="1" applyFill="1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4" xfId="0" applyFont="1" applyBorder="1"/>
    <xf numFmtId="0" fontId="1" fillId="0" borderId="14" xfId="0" applyFont="1" applyBorder="1"/>
    <xf numFmtId="0" fontId="1" fillId="0" borderId="1" xfId="0" applyFont="1" applyFill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0" fillId="0" borderId="13" xfId="0" applyNumberFormat="1" applyBorder="1"/>
    <xf numFmtId="1" fontId="0" fillId="0" borderId="0" xfId="0" applyNumberFormat="1" applyBorder="1"/>
    <xf numFmtId="1" fontId="0" fillId="0" borderId="6" xfId="0" applyNumberFormat="1" applyBorder="1"/>
    <xf numFmtId="6" fontId="0" fillId="0" borderId="0" xfId="0" applyNumberFormat="1" applyBorder="1"/>
    <xf numFmtId="6" fontId="0" fillId="0" borderId="6" xfId="0" applyNumberFormat="1" applyBorder="1"/>
    <xf numFmtId="6" fontId="0" fillId="0" borderId="2" xfId="0" applyNumberFormat="1" applyBorder="1"/>
    <xf numFmtId="6" fontId="0" fillId="0" borderId="7" xfId="0" applyNumberFormat="1" applyBorder="1"/>
    <xf numFmtId="1" fontId="0" fillId="0" borderId="0" xfId="0" applyNumberFormat="1"/>
    <xf numFmtId="0" fontId="3" fillId="0" borderId="4" xfId="0" applyFont="1" applyFill="1" applyBorder="1"/>
    <xf numFmtId="0" fontId="2" fillId="0" borderId="0" xfId="0" applyFont="1" applyBorder="1"/>
    <xf numFmtId="6" fontId="2" fillId="0" borderId="0" xfId="0" applyNumberFormat="1" applyFont="1" applyBorder="1"/>
    <xf numFmtId="6" fontId="2" fillId="0" borderId="6" xfId="0" applyNumberFormat="1" applyFont="1" applyBorder="1"/>
    <xf numFmtId="0" fontId="3" fillId="0" borderId="1" xfId="0" applyFont="1" applyFill="1" applyBorder="1"/>
    <xf numFmtId="0" fontId="2" fillId="0" borderId="3" xfId="0" applyFont="1" applyBorder="1"/>
    <xf numFmtId="1" fontId="2" fillId="0" borderId="3" xfId="0" applyNumberFormat="1" applyFont="1" applyBorder="1"/>
    <xf numFmtId="1" fontId="2" fillId="0" borderId="5" xfId="0" applyNumberFormat="1" applyFont="1" applyBorder="1"/>
    <xf numFmtId="0" fontId="3" fillId="0" borderId="13" xfId="0" applyFont="1" applyFill="1" applyBorder="1"/>
    <xf numFmtId="0" fontId="2" fillId="0" borderId="12" xfId="0" applyFont="1" applyBorder="1"/>
    <xf numFmtId="0" fontId="2" fillId="0" borderId="8" xfId="0" applyFont="1" applyBorder="1"/>
    <xf numFmtId="0" fontId="3" fillId="0" borderId="14" xfId="0" applyFont="1" applyFill="1" applyBorder="1"/>
    <xf numFmtId="0" fontId="2" fillId="0" borderId="2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1"/>
  <sheetViews>
    <sheetView tabSelected="1" topLeftCell="A39" zoomScaleNormal="100" workbookViewId="0">
      <selection activeCell="I60" sqref="I60"/>
    </sheetView>
  </sheetViews>
  <sheetFormatPr baseColWidth="10" defaultColWidth="9.140625" defaultRowHeight="15" x14ac:dyDescent="0.25"/>
  <cols>
    <col min="1" max="1" width="22.5703125" customWidth="1"/>
    <col min="2" max="2" width="14" customWidth="1"/>
    <col min="3" max="3" width="21.7109375" bestFit="1" customWidth="1"/>
    <col min="4" max="4" width="11.42578125" bestFit="1" customWidth="1"/>
    <col min="5" max="5" width="12.85546875" bestFit="1" customWidth="1"/>
    <col min="6" max="6" width="11.5703125" customWidth="1"/>
    <col min="7" max="9" width="12.85546875" bestFit="1" customWidth="1"/>
    <col min="10" max="10" width="13" customWidth="1"/>
    <col min="13" max="13" width="21.7109375" bestFit="1" customWidth="1"/>
    <col min="14" max="19" width="11.140625" bestFit="1" customWidth="1"/>
  </cols>
  <sheetData>
    <row r="2" spans="1:13" x14ac:dyDescent="0.25">
      <c r="A2" s="1" t="s">
        <v>0</v>
      </c>
      <c r="B2" s="27" t="s">
        <v>10</v>
      </c>
      <c r="C2" s="27"/>
      <c r="D2" s="27"/>
      <c r="E2" s="27"/>
      <c r="F2" s="27"/>
      <c r="G2">
        <v>35000</v>
      </c>
    </row>
    <row r="3" spans="1:13" x14ac:dyDescent="0.25">
      <c r="A3" s="1" t="s">
        <v>1</v>
      </c>
      <c r="B3" s="27" t="s">
        <v>11</v>
      </c>
      <c r="C3" s="27"/>
      <c r="D3" s="27"/>
      <c r="E3" s="27"/>
      <c r="F3" s="27"/>
      <c r="G3">
        <v>84000</v>
      </c>
    </row>
    <row r="6" spans="1:13" x14ac:dyDescent="0.25">
      <c r="D6" t="s">
        <v>28</v>
      </c>
    </row>
    <row r="7" spans="1:13" x14ac:dyDescent="0.25">
      <c r="A7" s="29" t="s">
        <v>2</v>
      </c>
      <c r="B7" s="29"/>
      <c r="C7" s="29"/>
      <c r="D7" s="2">
        <v>1000</v>
      </c>
    </row>
    <row r="8" spans="1:13" x14ac:dyDescent="0.25">
      <c r="A8" s="29" t="s">
        <v>3</v>
      </c>
      <c r="B8" s="29"/>
      <c r="C8" s="29"/>
      <c r="D8" s="2">
        <v>300</v>
      </c>
    </row>
    <row r="9" spans="1:13" x14ac:dyDescent="0.25">
      <c r="A9" s="29" t="s">
        <v>4</v>
      </c>
      <c r="B9" s="29"/>
      <c r="C9" s="29"/>
      <c r="D9" s="2">
        <v>240</v>
      </c>
    </row>
    <row r="10" spans="1:13" ht="29.25" customHeight="1" x14ac:dyDescent="0.25">
      <c r="A10" s="28" t="s">
        <v>5</v>
      </c>
      <c r="B10" s="28"/>
      <c r="C10" s="28"/>
      <c r="D10" s="2">
        <v>20</v>
      </c>
    </row>
    <row r="13" spans="1:13" x14ac:dyDescent="0.25">
      <c r="A13" s="24" t="s">
        <v>6</v>
      </c>
      <c r="B13" s="24"/>
      <c r="L13" s="1" t="s">
        <v>31</v>
      </c>
    </row>
    <row r="14" spans="1:13" x14ac:dyDescent="0.25">
      <c r="A14" t="s">
        <v>35</v>
      </c>
      <c r="B14" s="11">
        <v>35000</v>
      </c>
      <c r="L14" t="s">
        <v>36</v>
      </c>
      <c r="M14" s="11">
        <v>84000</v>
      </c>
    </row>
    <row r="15" spans="1:13" ht="29.25" customHeight="1" x14ac:dyDescent="0.25">
      <c r="A15" s="25" t="s">
        <v>7</v>
      </c>
      <c r="B15" s="25"/>
      <c r="C15" s="25"/>
      <c r="D15" s="25"/>
      <c r="E15" s="25"/>
      <c r="F15" s="25"/>
      <c r="L15" t="s">
        <v>32</v>
      </c>
    </row>
    <row r="16" spans="1:13" x14ac:dyDescent="0.25">
      <c r="A16" s="26" t="s">
        <v>8</v>
      </c>
      <c r="B16" s="26"/>
      <c r="C16" s="26"/>
      <c r="D16" s="26"/>
      <c r="E16" s="26"/>
      <c r="F16" s="26"/>
      <c r="L16" t="s">
        <v>8</v>
      </c>
    </row>
    <row r="17" spans="1:19" x14ac:dyDescent="0.25">
      <c r="A17" s="26" t="s">
        <v>9</v>
      </c>
      <c r="B17" s="26"/>
      <c r="C17" s="26"/>
      <c r="D17" s="26"/>
      <c r="E17" s="26"/>
      <c r="F17" s="26"/>
      <c r="L17" t="s">
        <v>33</v>
      </c>
    </row>
    <row r="18" spans="1:19" x14ac:dyDescent="0.25">
      <c r="J18" s="23"/>
    </row>
    <row r="19" spans="1:19" x14ac:dyDescent="0.25">
      <c r="B19" s="3" t="s">
        <v>12</v>
      </c>
      <c r="C19" s="3" t="s">
        <v>13</v>
      </c>
      <c r="D19" s="3" t="s">
        <v>14</v>
      </c>
      <c r="E19" s="3" t="s">
        <v>15</v>
      </c>
      <c r="F19" s="3" t="s">
        <v>16</v>
      </c>
      <c r="G19" s="3" t="s">
        <v>16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  <c r="R19" s="3" t="s">
        <v>18</v>
      </c>
    </row>
    <row r="20" spans="1:19" x14ac:dyDescent="0.25">
      <c r="B20" s="3" t="s">
        <v>17</v>
      </c>
      <c r="C20" s="3">
        <v>20000</v>
      </c>
      <c r="D20" s="3">
        <v>28000</v>
      </c>
      <c r="E20" s="3">
        <v>36000</v>
      </c>
      <c r="F20" s="3">
        <v>45000</v>
      </c>
      <c r="G20" s="3">
        <v>54000</v>
      </c>
      <c r="M20" s="3" t="s">
        <v>17</v>
      </c>
      <c r="N20" s="10">
        <v>36000</v>
      </c>
      <c r="O20" s="10">
        <v>52000</v>
      </c>
      <c r="P20" s="10">
        <v>72000</v>
      </c>
      <c r="Q20" s="10">
        <v>97000</v>
      </c>
      <c r="R20" s="10">
        <v>125000</v>
      </c>
    </row>
    <row r="25" spans="1:19" x14ac:dyDescent="0.25">
      <c r="B25" t="s">
        <v>29</v>
      </c>
      <c r="C25" s="3" t="s">
        <v>22</v>
      </c>
      <c r="D25" s="5" t="s">
        <v>34</v>
      </c>
      <c r="E25" s="5" t="s">
        <v>13</v>
      </c>
      <c r="F25" s="5" t="s">
        <v>14</v>
      </c>
      <c r="G25" s="5" t="s">
        <v>15</v>
      </c>
      <c r="H25" s="5" t="s">
        <v>16</v>
      </c>
      <c r="I25" s="12" t="s">
        <v>18</v>
      </c>
      <c r="J25" s="4"/>
      <c r="L25" t="s">
        <v>29</v>
      </c>
      <c r="M25" s="3" t="s">
        <v>22</v>
      </c>
      <c r="N25" s="5" t="s">
        <v>34</v>
      </c>
      <c r="O25" s="5" t="s">
        <v>13</v>
      </c>
      <c r="P25" s="5" t="s">
        <v>14</v>
      </c>
      <c r="Q25" s="5" t="s">
        <v>15</v>
      </c>
      <c r="R25" s="5" t="s">
        <v>16</v>
      </c>
      <c r="S25" s="12" t="s">
        <v>18</v>
      </c>
    </row>
    <row r="26" spans="1:19" x14ac:dyDescent="0.25">
      <c r="C26" s="6" t="s">
        <v>19</v>
      </c>
      <c r="D26" s="13">
        <v>1000000</v>
      </c>
      <c r="E26" s="13">
        <v>1100000</v>
      </c>
      <c r="F26" s="13">
        <v>1150000</v>
      </c>
      <c r="G26" s="13">
        <v>1200000</v>
      </c>
      <c r="H26" s="13">
        <v>1250000</v>
      </c>
      <c r="I26" s="14">
        <v>1300000</v>
      </c>
      <c r="J26" s="4"/>
      <c r="M26" s="6" t="s">
        <v>19</v>
      </c>
      <c r="N26" s="13">
        <v>1000000</v>
      </c>
      <c r="O26" s="13">
        <v>1140000</v>
      </c>
      <c r="P26" s="13">
        <v>1280000</v>
      </c>
      <c r="Q26" s="13">
        <v>1420000</v>
      </c>
      <c r="R26" s="13">
        <v>1560000</v>
      </c>
      <c r="S26" s="14">
        <v>1700000</v>
      </c>
    </row>
    <row r="27" spans="1:19" x14ac:dyDescent="0.25">
      <c r="C27" s="7" t="s">
        <v>20</v>
      </c>
      <c r="D27" s="13">
        <f>D26*0.7</f>
        <v>700000</v>
      </c>
      <c r="E27" s="13">
        <f t="shared" ref="E27:I27" si="0">E26*0.7</f>
        <v>770000</v>
      </c>
      <c r="F27" s="13">
        <f t="shared" si="0"/>
        <v>805000</v>
      </c>
      <c r="G27" s="13">
        <f t="shared" si="0"/>
        <v>840000</v>
      </c>
      <c r="H27" s="13">
        <f t="shared" si="0"/>
        <v>875000</v>
      </c>
      <c r="I27" s="15">
        <f t="shared" si="0"/>
        <v>910000</v>
      </c>
      <c r="J27" s="4"/>
      <c r="M27" s="7" t="s">
        <v>20</v>
      </c>
      <c r="N27" s="13">
        <f>N26*0.7</f>
        <v>700000</v>
      </c>
      <c r="O27" s="13">
        <f t="shared" ref="O27" si="1">O26*0.7</f>
        <v>798000</v>
      </c>
      <c r="P27" s="13">
        <f t="shared" ref="P27" si="2">P26*0.7</f>
        <v>896000</v>
      </c>
      <c r="Q27" s="13">
        <f t="shared" ref="Q27" si="3">Q26*0.7</f>
        <v>993999.99999999988</v>
      </c>
      <c r="R27" s="13">
        <f t="shared" ref="R27" si="4">R26*0.7</f>
        <v>1092000</v>
      </c>
      <c r="S27" s="15">
        <f>S26*0.7</f>
        <v>1190000</v>
      </c>
    </row>
    <row r="28" spans="1:19" x14ac:dyDescent="0.25">
      <c r="C28" s="7" t="s">
        <v>30</v>
      </c>
      <c r="D28" s="13">
        <f>D26-D27</f>
        <v>300000</v>
      </c>
      <c r="E28" s="13">
        <f t="shared" ref="E28:I28" si="5">E26-E27</f>
        <v>330000</v>
      </c>
      <c r="F28" s="13">
        <f t="shared" si="5"/>
        <v>345000</v>
      </c>
      <c r="G28" s="13">
        <f t="shared" si="5"/>
        <v>360000</v>
      </c>
      <c r="H28" s="13">
        <f t="shared" si="5"/>
        <v>375000</v>
      </c>
      <c r="I28" s="15">
        <f t="shared" si="5"/>
        <v>390000</v>
      </c>
      <c r="J28" s="4"/>
      <c r="M28" s="7" t="s">
        <v>30</v>
      </c>
      <c r="N28" s="13">
        <f>N26-N27</f>
        <v>300000</v>
      </c>
      <c r="O28" s="13">
        <f t="shared" ref="O28" si="6">O26-O27</f>
        <v>342000</v>
      </c>
      <c r="P28" s="13">
        <f t="shared" ref="P28" si="7">P26-P27</f>
        <v>384000</v>
      </c>
      <c r="Q28" s="13">
        <f t="shared" ref="Q28" si="8">Q26-Q27</f>
        <v>426000.00000000012</v>
      </c>
      <c r="R28" s="13">
        <f t="shared" ref="R28" si="9">R26-R27</f>
        <v>468000</v>
      </c>
      <c r="S28" s="15">
        <f t="shared" ref="S28" si="10">S26-S27</f>
        <v>510000</v>
      </c>
    </row>
    <row r="29" spans="1:19" x14ac:dyDescent="0.25">
      <c r="C29" s="7" t="s">
        <v>21</v>
      </c>
      <c r="D29" s="13">
        <v>220000</v>
      </c>
      <c r="E29" s="13">
        <f>D29+C20</f>
        <v>240000</v>
      </c>
      <c r="F29" s="13">
        <f>D29+D20</f>
        <v>248000</v>
      </c>
      <c r="G29" s="13">
        <f>D29+E20</f>
        <v>256000</v>
      </c>
      <c r="H29" s="13">
        <f>D29+F20</f>
        <v>265000</v>
      </c>
      <c r="I29" s="15">
        <f>D29+G20</f>
        <v>274000</v>
      </c>
      <c r="J29" s="4"/>
      <c r="M29" s="7" t="s">
        <v>21</v>
      </c>
      <c r="N29" s="13">
        <v>220000</v>
      </c>
      <c r="O29" s="13">
        <f>N29+N20</f>
        <v>256000</v>
      </c>
      <c r="P29" s="13">
        <f>N29+O20</f>
        <v>272000</v>
      </c>
      <c r="Q29" s="13">
        <f>N29+P20</f>
        <v>292000</v>
      </c>
      <c r="R29" s="13">
        <f>N29+Q20</f>
        <v>317000</v>
      </c>
      <c r="S29" s="15">
        <f>N29+R20</f>
        <v>345000</v>
      </c>
    </row>
    <row r="30" spans="1:19" x14ac:dyDescent="0.25">
      <c r="C30" s="7" t="s">
        <v>23</v>
      </c>
      <c r="D30" s="13">
        <v>20000</v>
      </c>
      <c r="E30" s="13">
        <v>27000</v>
      </c>
      <c r="F30" s="13">
        <v>27000</v>
      </c>
      <c r="G30" s="13">
        <v>27000</v>
      </c>
      <c r="H30" s="13">
        <v>27000</v>
      </c>
      <c r="I30" s="15">
        <v>27000</v>
      </c>
      <c r="J30" s="4"/>
      <c r="M30" s="7" t="s">
        <v>23</v>
      </c>
      <c r="N30" s="13">
        <v>20000</v>
      </c>
      <c r="O30" s="13">
        <f>N30+M14/5</f>
        <v>36800</v>
      </c>
      <c r="P30" s="13">
        <f>O30+N14/5</f>
        <v>36800</v>
      </c>
      <c r="Q30" s="13">
        <f>P30+O14/5</f>
        <v>36800</v>
      </c>
      <c r="R30" s="13">
        <f>Q30+P14/5</f>
        <v>36800</v>
      </c>
      <c r="S30" s="15">
        <f>R30+Q14/5</f>
        <v>36800</v>
      </c>
    </row>
    <row r="31" spans="1:19" x14ac:dyDescent="0.25">
      <c r="C31" s="7" t="s">
        <v>24</v>
      </c>
      <c r="D31" s="13">
        <f>D28-D29-D30</f>
        <v>60000</v>
      </c>
      <c r="E31" s="13">
        <f>E28-E29-E30</f>
        <v>63000</v>
      </c>
      <c r="F31" s="13">
        <f t="shared" ref="F31:I31" si="11">F28-F29-F30</f>
        <v>70000</v>
      </c>
      <c r="G31" s="13">
        <f t="shared" si="11"/>
        <v>77000</v>
      </c>
      <c r="H31" s="13">
        <f t="shared" si="11"/>
        <v>83000</v>
      </c>
      <c r="I31" s="15">
        <f t="shared" si="11"/>
        <v>89000</v>
      </c>
      <c r="J31" s="4"/>
      <c r="M31" s="7" t="s">
        <v>24</v>
      </c>
      <c r="N31" s="13">
        <f>N28-N29-N30</f>
        <v>60000</v>
      </c>
      <c r="O31" s="13">
        <f t="shared" ref="O31" si="12">O28-O29-O30</f>
        <v>49200</v>
      </c>
      <c r="P31" s="13">
        <f t="shared" ref="P31" si="13">P28-P29-P30</f>
        <v>75200</v>
      </c>
      <c r="Q31" s="13">
        <f t="shared" ref="Q31" si="14">Q28-Q29-Q30</f>
        <v>97200.000000000116</v>
      </c>
      <c r="R31" s="13">
        <f t="shared" ref="R31" si="15">R28-R29-R30</f>
        <v>114200</v>
      </c>
      <c r="S31" s="15">
        <f t="shared" ref="S31" si="16">S28-S29-S30</f>
        <v>128200</v>
      </c>
    </row>
    <row r="32" spans="1:19" x14ac:dyDescent="0.25">
      <c r="C32" s="7" t="s">
        <v>25</v>
      </c>
      <c r="D32" s="13">
        <f>D31*(1/3)</f>
        <v>20000</v>
      </c>
      <c r="E32" s="13">
        <f t="shared" ref="E32:I32" si="17">E31*(1/3)</f>
        <v>21000</v>
      </c>
      <c r="F32" s="13">
        <f t="shared" si="17"/>
        <v>23333.333333333332</v>
      </c>
      <c r="G32" s="13">
        <f t="shared" si="17"/>
        <v>25666.666666666664</v>
      </c>
      <c r="H32" s="13">
        <f t="shared" si="17"/>
        <v>27666.666666666664</v>
      </c>
      <c r="I32" s="15">
        <f t="shared" si="17"/>
        <v>29666.666666666664</v>
      </c>
      <c r="J32" s="4"/>
      <c r="M32" s="7" t="s">
        <v>25</v>
      </c>
      <c r="N32" s="13">
        <f>N31*(1/3)</f>
        <v>20000</v>
      </c>
      <c r="O32" s="13">
        <f t="shared" ref="O32" si="18">O31*(1/3)</f>
        <v>16400</v>
      </c>
      <c r="P32" s="13">
        <f t="shared" ref="P32" si="19">P31*(1/3)</f>
        <v>25066.666666666664</v>
      </c>
      <c r="Q32" s="13">
        <f t="shared" ref="Q32" si="20">Q31*(1/3)</f>
        <v>32400.000000000036</v>
      </c>
      <c r="R32" s="13">
        <f t="shared" ref="R32" si="21">R31*(1/3)</f>
        <v>38066.666666666664</v>
      </c>
      <c r="S32" s="15">
        <f t="shared" ref="S32" si="22">S31*(1/3)</f>
        <v>42733.333333333328</v>
      </c>
    </row>
    <row r="33" spans="1:19" x14ac:dyDescent="0.25">
      <c r="C33" s="7" t="s">
        <v>26</v>
      </c>
      <c r="D33" s="13">
        <f>D31-D32</f>
        <v>40000</v>
      </c>
      <c r="E33" s="13">
        <f t="shared" ref="E33:I33" si="23">E31-E32</f>
        <v>42000</v>
      </c>
      <c r="F33" s="13">
        <f t="shared" si="23"/>
        <v>46666.666666666672</v>
      </c>
      <c r="G33" s="13">
        <f t="shared" si="23"/>
        <v>51333.333333333336</v>
      </c>
      <c r="H33" s="13">
        <f t="shared" si="23"/>
        <v>55333.333333333336</v>
      </c>
      <c r="I33" s="15">
        <f t="shared" si="23"/>
        <v>59333.333333333336</v>
      </c>
      <c r="J33" s="4"/>
      <c r="M33" s="7" t="s">
        <v>26</v>
      </c>
      <c r="N33" s="13">
        <f>N31-N32</f>
        <v>40000</v>
      </c>
      <c r="O33" s="13">
        <f t="shared" ref="O33" si="24">O31-O32</f>
        <v>32800</v>
      </c>
      <c r="P33" s="13">
        <f t="shared" ref="P33" si="25">P31-P32</f>
        <v>50133.333333333336</v>
      </c>
      <c r="Q33" s="13">
        <f t="shared" ref="Q33" si="26">Q31-Q32</f>
        <v>64800.00000000008</v>
      </c>
      <c r="R33" s="13">
        <f t="shared" ref="R33" si="27">R31-R32</f>
        <v>76133.333333333343</v>
      </c>
      <c r="S33" s="15">
        <f t="shared" ref="S33" si="28">S31-S32</f>
        <v>85466.666666666672</v>
      </c>
    </row>
    <row r="34" spans="1:19" x14ac:dyDescent="0.25">
      <c r="C34" s="8"/>
      <c r="D34" s="13"/>
      <c r="E34" s="13"/>
      <c r="F34" s="13"/>
      <c r="G34" s="13"/>
      <c r="H34" s="13"/>
      <c r="I34" s="15"/>
      <c r="J34" s="4"/>
      <c r="M34" s="8"/>
      <c r="N34" s="13"/>
      <c r="O34" s="13"/>
      <c r="P34" s="13"/>
      <c r="Q34" s="13"/>
      <c r="R34" s="13"/>
      <c r="S34" s="15"/>
    </row>
    <row r="35" spans="1:19" ht="15.75" customHeight="1" x14ac:dyDescent="0.25">
      <c r="C35" s="9" t="s">
        <v>37</v>
      </c>
      <c r="D35" s="13">
        <f>D26-D27-D29-D32</f>
        <v>60000</v>
      </c>
      <c r="E35" s="13">
        <f>E26-E27-E29-E32</f>
        <v>69000</v>
      </c>
      <c r="F35" s="13">
        <f t="shared" ref="F35:I35" si="29">F26-F27-F29-F32</f>
        <v>73666.666666666672</v>
      </c>
      <c r="G35" s="13">
        <f t="shared" si="29"/>
        <v>78333.333333333343</v>
      </c>
      <c r="H35" s="13">
        <f t="shared" si="29"/>
        <v>82333.333333333343</v>
      </c>
      <c r="I35" s="15">
        <f t="shared" si="29"/>
        <v>86333.333333333343</v>
      </c>
      <c r="J35" s="4"/>
      <c r="M35" s="9" t="s">
        <v>37</v>
      </c>
      <c r="N35" s="13">
        <f>N26-N27-N29-N32</f>
        <v>60000</v>
      </c>
      <c r="O35" s="13">
        <f t="shared" ref="O35:S35" si="30">O26-O27-O29-O32</f>
        <v>69600</v>
      </c>
      <c r="P35" s="13">
        <f t="shared" si="30"/>
        <v>86933.333333333343</v>
      </c>
      <c r="Q35" s="13">
        <f t="shared" si="30"/>
        <v>101600.00000000009</v>
      </c>
      <c r="R35" s="13">
        <f t="shared" si="30"/>
        <v>112933.33333333334</v>
      </c>
      <c r="S35" s="15">
        <f t="shared" si="30"/>
        <v>122266.66666666667</v>
      </c>
    </row>
    <row r="36" spans="1:19" ht="15" customHeight="1" x14ac:dyDescent="0.25">
      <c r="C36" s="9" t="s">
        <v>38</v>
      </c>
      <c r="D36" s="13">
        <f>D35</f>
        <v>60000</v>
      </c>
      <c r="E36" s="13">
        <f>D36-B14+E35</f>
        <v>94000</v>
      </c>
      <c r="F36" s="13">
        <f>E36+F35</f>
        <v>167666.66666666669</v>
      </c>
      <c r="G36" s="13">
        <f t="shared" ref="G36:I36" si="31">F36+G35</f>
        <v>246000.00000000003</v>
      </c>
      <c r="H36" s="13">
        <f t="shared" si="31"/>
        <v>328333.33333333337</v>
      </c>
      <c r="I36" s="13">
        <f t="shared" si="31"/>
        <v>414666.66666666674</v>
      </c>
      <c r="J36" s="17"/>
      <c r="M36" s="9" t="s">
        <v>38</v>
      </c>
      <c r="N36" s="13">
        <f>N35</f>
        <v>60000</v>
      </c>
      <c r="O36" s="13">
        <f>N36-M14+O35</f>
        <v>45600</v>
      </c>
      <c r="P36" s="13">
        <f>O36+P35</f>
        <v>132533.33333333334</v>
      </c>
      <c r="Q36" s="13">
        <f t="shared" ref="Q36:R36" si="32">P36+Q35</f>
        <v>234133.33333333343</v>
      </c>
      <c r="R36" s="13">
        <f t="shared" si="32"/>
        <v>347066.66666666674</v>
      </c>
      <c r="S36" s="15">
        <f>R36+S35</f>
        <v>469333.33333333343</v>
      </c>
    </row>
    <row r="37" spans="1:19" x14ac:dyDescent="0.25">
      <c r="C37" s="16" t="s">
        <v>27</v>
      </c>
      <c r="D37" s="20">
        <f>D35*1.05^0</f>
        <v>60000</v>
      </c>
      <c r="E37" s="13">
        <f>E35*1.05^-1</f>
        <v>65714.28571428571</v>
      </c>
      <c r="F37" s="13">
        <f>F35*1.05^-2</f>
        <v>66817.838246409679</v>
      </c>
      <c r="G37" s="13">
        <f>G35*1.05^-3</f>
        <v>67667.278551632291</v>
      </c>
      <c r="H37" s="13">
        <f>H35*1.05^-4</f>
        <v>67735.837091198293</v>
      </c>
      <c r="I37" s="15">
        <f>I35*1.05^-5</f>
        <v>67644.425705110305</v>
      </c>
      <c r="J37" s="4"/>
      <c r="M37" s="16" t="s">
        <v>27</v>
      </c>
      <c r="N37" s="20">
        <f>N35*1.05^0</f>
        <v>60000</v>
      </c>
      <c r="O37" s="13">
        <f>O35*1.05^-1</f>
        <v>66285.714285714275</v>
      </c>
      <c r="P37" s="13">
        <f>P35*1.05^-2</f>
        <v>78851.095993953146</v>
      </c>
      <c r="Q37" s="13">
        <f>Q35*1.05^-3</f>
        <v>87765.900010798039</v>
      </c>
      <c r="R37" s="13">
        <f>R35*1.05^-4</f>
        <v>92910.532819829881</v>
      </c>
      <c r="S37" s="15">
        <f>S35*1.05^-5</f>
        <v>95799.13262021025</v>
      </c>
    </row>
    <row r="38" spans="1:19" s="4" customFormat="1" x14ac:dyDescent="0.25">
      <c r="C38" s="18" t="s">
        <v>39</v>
      </c>
      <c r="D38" s="21">
        <f>D36*1.05^0</f>
        <v>60000</v>
      </c>
      <c r="E38" s="19">
        <f>E36*1.05^-1</f>
        <v>89523.809523809512</v>
      </c>
      <c r="F38" s="19">
        <f>F36*1.05^-2</f>
        <v>152078.60922146638</v>
      </c>
      <c r="G38" s="19">
        <f>G36*1.05^-3</f>
        <v>212504.04923874311</v>
      </c>
      <c r="H38" s="19">
        <f>H36*1.05^-4</f>
        <v>270120.64589000127</v>
      </c>
      <c r="I38" s="22">
        <f>I36*1.05^-5</f>
        <v>324902.18369558774</v>
      </c>
      <c r="M38" s="18" t="s">
        <v>39</v>
      </c>
      <c r="N38" s="21">
        <f>N36*1.05^0</f>
        <v>60000</v>
      </c>
      <c r="O38" s="19">
        <f>O36*1.05^-1</f>
        <v>43428.571428571428</v>
      </c>
      <c r="P38" s="19">
        <f>P36*1.05^-2</f>
        <v>120211.64021164022</v>
      </c>
      <c r="Q38" s="19">
        <f>Q36*1.05^-3</f>
        <v>202253.17640283634</v>
      </c>
      <c r="R38" s="19">
        <f>R36*1.05^-4</f>
        <v>285532.60558443592</v>
      </c>
      <c r="S38" s="22">
        <f>S36*1.05^-5</f>
        <v>367734.94746253017</v>
      </c>
    </row>
    <row r="42" spans="1:19" x14ac:dyDescent="0.25">
      <c r="A42" t="s">
        <v>40</v>
      </c>
      <c r="C42" t="s">
        <v>41</v>
      </c>
    </row>
    <row r="44" spans="1:19" x14ac:dyDescent="0.25">
      <c r="A44" s="39" t="s">
        <v>42</v>
      </c>
      <c r="B44" s="36">
        <v>0</v>
      </c>
      <c r="C44" s="30">
        <v>1</v>
      </c>
      <c r="D44" s="30">
        <v>2</v>
      </c>
      <c r="E44" s="30">
        <v>3</v>
      </c>
      <c r="F44" s="31">
        <v>4</v>
      </c>
    </row>
    <row r="45" spans="1:19" x14ac:dyDescent="0.25">
      <c r="A45" s="32" t="s">
        <v>43</v>
      </c>
      <c r="B45" s="36"/>
      <c r="C45" s="37">
        <v>120000</v>
      </c>
      <c r="D45" s="41">
        <f>C45-C47</f>
        <v>90885.149679445502</v>
      </c>
      <c r="E45" s="41">
        <f>D45-D47</f>
        <v>61188.002352479911</v>
      </c>
      <c r="F45" s="43">
        <f>E45-E47</f>
        <v>30896.912078975009</v>
      </c>
    </row>
    <row r="46" spans="1:19" x14ac:dyDescent="0.25">
      <c r="A46" s="32" t="s">
        <v>44</v>
      </c>
      <c r="B46" s="17"/>
      <c r="C46" s="46">
        <f>C45*2%</f>
        <v>2400</v>
      </c>
      <c r="D46" s="46">
        <f>D45*2%</f>
        <v>1817.70299358891</v>
      </c>
      <c r="E46" s="46">
        <f>2%*E45</f>
        <v>1223.7600470495981</v>
      </c>
      <c r="F46" s="47">
        <f>2%*F45</f>
        <v>617.93824157950019</v>
      </c>
      <c r="G46" s="48">
        <f>C46+D46+E46+F46</f>
        <v>6059.4012822180075</v>
      </c>
    </row>
    <row r="47" spans="1:19" x14ac:dyDescent="0.25">
      <c r="A47" s="32" t="s">
        <v>45</v>
      </c>
      <c r="B47" s="17"/>
      <c r="C47" s="42">
        <f>C48-C46</f>
        <v>29114.850320554502</v>
      </c>
      <c r="D47" s="42">
        <f>D48-D46</f>
        <v>29697.147326965591</v>
      </c>
      <c r="E47" s="42">
        <f>E48-E46</f>
        <v>30291.090273504902</v>
      </c>
      <c r="F47" s="44">
        <f>F48-F46</f>
        <v>30896.912078975012</v>
      </c>
      <c r="G47" s="23">
        <f>C47+D47+E47+F47</f>
        <v>120000.00000000001</v>
      </c>
    </row>
    <row r="48" spans="1:19" x14ac:dyDescent="0.25">
      <c r="A48" s="34" t="s">
        <v>46</v>
      </c>
      <c r="B48" s="38"/>
      <c r="C48" s="40">
        <f>-PMT(2%,4,C45)</f>
        <v>31514.850320554502</v>
      </c>
      <c r="D48" s="40">
        <f>-PMT(2%,3,D45)</f>
        <v>31514.850320554502</v>
      </c>
      <c r="E48" s="40">
        <f>-PMT(2%,2,E45)</f>
        <v>31514.850320554502</v>
      </c>
      <c r="F48" s="45">
        <f>-PMT(2%,1,F45)</f>
        <v>31514.850320554513</v>
      </c>
      <c r="G48" s="23">
        <f>C48+D48+E48+F48</f>
        <v>126059.40128221802</v>
      </c>
    </row>
    <row r="51" spans="1:6" x14ac:dyDescent="0.25">
      <c r="A51" s="49" t="s">
        <v>47</v>
      </c>
      <c r="B51" s="52">
        <v>220000</v>
      </c>
      <c r="C51" s="54" t="s">
        <v>50</v>
      </c>
      <c r="D51" s="60">
        <f>IRR(B68:F68)</f>
        <v>5.3171296526965284E-2</v>
      </c>
      <c r="E51" s="54" t="s">
        <v>65</v>
      </c>
      <c r="F51" s="52">
        <v>120000</v>
      </c>
    </row>
    <row r="52" spans="1:6" x14ac:dyDescent="0.25">
      <c r="A52" s="50" t="s">
        <v>48</v>
      </c>
      <c r="B52" s="8">
        <v>4</v>
      </c>
      <c r="C52" s="55" t="s">
        <v>51</v>
      </c>
      <c r="D52" s="23">
        <f>B18+NPV(D53,C68:F68)</f>
        <v>103890.16537563525</v>
      </c>
      <c r="E52" s="55" t="s">
        <v>66</v>
      </c>
      <c r="F52" s="8">
        <v>4</v>
      </c>
    </row>
    <row r="53" spans="1:6" x14ac:dyDescent="0.25">
      <c r="A53" s="51" t="s">
        <v>49</v>
      </c>
      <c r="B53" s="53">
        <f>B51/B52</f>
        <v>55000</v>
      </c>
      <c r="C53" s="56" t="s">
        <v>52</v>
      </c>
      <c r="D53" s="53">
        <v>0.04</v>
      </c>
      <c r="E53" s="56" t="s">
        <v>67</v>
      </c>
      <c r="F53" s="53">
        <v>0.02</v>
      </c>
    </row>
    <row r="55" spans="1:6" x14ac:dyDescent="0.25">
      <c r="A55" s="57" t="s">
        <v>42</v>
      </c>
      <c r="B55" s="58">
        <v>0</v>
      </c>
      <c r="C55" s="58">
        <v>1</v>
      </c>
      <c r="D55" s="58">
        <v>2</v>
      </c>
      <c r="E55" s="58">
        <v>3</v>
      </c>
      <c r="F55" s="59">
        <v>4</v>
      </c>
    </row>
    <row r="56" spans="1:6" x14ac:dyDescent="0.25">
      <c r="A56" s="50" t="s">
        <v>53</v>
      </c>
      <c r="B56" s="4"/>
      <c r="C56" s="4"/>
      <c r="D56" s="4"/>
      <c r="E56" s="4"/>
      <c r="F56" s="33"/>
    </row>
    <row r="57" spans="1:6" x14ac:dyDescent="0.25">
      <c r="A57" s="50" t="s">
        <v>2</v>
      </c>
      <c r="B57" s="4"/>
      <c r="C57" s="4">
        <v>200000</v>
      </c>
      <c r="D57" s="4">
        <f>C57*1.1</f>
        <v>220000.00000000003</v>
      </c>
      <c r="E57" s="4">
        <f>D57*1.1</f>
        <v>242000.00000000006</v>
      </c>
      <c r="F57" s="33">
        <f>E57*1.1</f>
        <v>266200.00000000006</v>
      </c>
    </row>
    <row r="58" spans="1:6" x14ac:dyDescent="0.25">
      <c r="A58" s="50" t="s">
        <v>54</v>
      </c>
      <c r="B58" s="4"/>
      <c r="C58" s="4"/>
      <c r="D58" s="4"/>
      <c r="E58" s="4"/>
      <c r="F58" s="33"/>
    </row>
    <row r="59" spans="1:6" x14ac:dyDescent="0.25">
      <c r="A59" s="50" t="s">
        <v>55</v>
      </c>
      <c r="B59" s="4">
        <f>B51-F51</f>
        <v>100000</v>
      </c>
      <c r="C59" s="4"/>
      <c r="D59" s="4"/>
      <c r="E59" s="4"/>
      <c r="F59" s="33"/>
    </row>
    <row r="60" spans="1:6" x14ac:dyDescent="0.25">
      <c r="A60" s="76" t="s">
        <v>56</v>
      </c>
      <c r="B60" s="77"/>
      <c r="C60" s="77">
        <v>235000</v>
      </c>
      <c r="D60" s="77">
        <v>205000</v>
      </c>
      <c r="E60" s="77">
        <v>220000</v>
      </c>
      <c r="F60" s="78">
        <v>236500</v>
      </c>
    </row>
    <row r="61" spans="1:6" x14ac:dyDescent="0.25">
      <c r="A61" s="79" t="s">
        <v>57</v>
      </c>
      <c r="B61" s="80"/>
      <c r="C61" s="80">
        <f>B53</f>
        <v>55000</v>
      </c>
      <c r="D61" s="80">
        <f>B53</f>
        <v>55000</v>
      </c>
      <c r="E61" s="80">
        <f>B53</f>
        <v>55000</v>
      </c>
      <c r="F61" s="81">
        <f>B53</f>
        <v>55000</v>
      </c>
    </row>
    <row r="62" spans="1:6" x14ac:dyDescent="0.25">
      <c r="A62" s="50" t="s">
        <v>58</v>
      </c>
      <c r="B62" s="4"/>
      <c r="C62" s="4">
        <f>C60-C61</f>
        <v>180000</v>
      </c>
      <c r="D62" s="4">
        <f>D60-D61</f>
        <v>150000</v>
      </c>
      <c r="E62" s="4">
        <f>E60-E61</f>
        <v>165000</v>
      </c>
      <c r="F62" s="33">
        <f>F60-F61</f>
        <v>181500</v>
      </c>
    </row>
    <row r="63" spans="1:6" x14ac:dyDescent="0.25">
      <c r="A63" s="50" t="s">
        <v>59</v>
      </c>
      <c r="B63" s="4"/>
      <c r="C63" s="61">
        <f>C46</f>
        <v>2400</v>
      </c>
      <c r="D63" s="61">
        <f>D46</f>
        <v>1817.70299358891</v>
      </c>
      <c r="E63" s="61">
        <f>E46</f>
        <v>1223.7600470495981</v>
      </c>
      <c r="F63" s="62">
        <f>F46</f>
        <v>617.93824157950019</v>
      </c>
    </row>
    <row r="64" spans="1:6" x14ac:dyDescent="0.25">
      <c r="A64" s="72" t="s">
        <v>60</v>
      </c>
      <c r="B64" s="73"/>
      <c r="C64" s="74">
        <f>C57-C60-C63</f>
        <v>-37400</v>
      </c>
      <c r="D64" s="74">
        <f>D57-D60-D63</f>
        <v>13182.29700641112</v>
      </c>
      <c r="E64" s="74">
        <f>E57-E60-E63</f>
        <v>20776.239952950462</v>
      </c>
      <c r="F64" s="75">
        <f>F57-F60-F63</f>
        <v>29082.061758420557</v>
      </c>
    </row>
    <row r="65" spans="1:7" x14ac:dyDescent="0.25">
      <c r="A65" s="50" t="s">
        <v>61</v>
      </c>
      <c r="B65" s="4"/>
      <c r="C65" s="61">
        <f>C64/3</f>
        <v>-12466.666666666666</v>
      </c>
      <c r="D65" s="61">
        <f>D64/3</f>
        <v>4394.0990021370399</v>
      </c>
      <c r="E65" s="61">
        <f>E64/3</f>
        <v>6925.4133176501537</v>
      </c>
      <c r="F65" s="62">
        <f>F64/3</f>
        <v>9694.0205861401864</v>
      </c>
    </row>
    <row r="66" spans="1:7" x14ac:dyDescent="0.25">
      <c r="A66" s="50" t="s">
        <v>45</v>
      </c>
      <c r="B66" s="4"/>
      <c r="C66" s="63">
        <f>C47</f>
        <v>29114.850320554502</v>
      </c>
      <c r="D66" s="63">
        <f>D47</f>
        <v>29697.147326965591</v>
      </c>
      <c r="E66" s="63">
        <f>E47</f>
        <v>30291.090273504902</v>
      </c>
      <c r="F66" s="64">
        <f>F47</f>
        <v>30896.912078975012</v>
      </c>
    </row>
    <row r="67" spans="1:7" x14ac:dyDescent="0.25">
      <c r="A67" s="50" t="s">
        <v>62</v>
      </c>
      <c r="B67" s="4"/>
      <c r="C67" s="63">
        <f>C62+C63+C65+C66</f>
        <v>199048.18365388786</v>
      </c>
      <c r="D67" s="63">
        <f>D62+D63+D65+D66</f>
        <v>185908.94932269154</v>
      </c>
      <c r="E67" s="63">
        <f>E62+E63+E65+E66</f>
        <v>203440.26363820466</v>
      </c>
      <c r="F67" s="64">
        <f>F62+F63+F65+F66</f>
        <v>222708.8709066947</v>
      </c>
    </row>
    <row r="68" spans="1:7" x14ac:dyDescent="0.25">
      <c r="A68" s="50" t="s">
        <v>37</v>
      </c>
      <c r="B68" s="4">
        <f>-B59</f>
        <v>-100000</v>
      </c>
      <c r="C68" s="63">
        <f>C57-C67</f>
        <v>951.81634611214395</v>
      </c>
      <c r="D68" s="63">
        <f>D57-D67</f>
        <v>34091.050677308493</v>
      </c>
      <c r="E68" s="63">
        <f>E57-E67</f>
        <v>38559.736361795396</v>
      </c>
      <c r="F68" s="64">
        <f>F57-F67</f>
        <v>43491.129093305353</v>
      </c>
    </row>
    <row r="69" spans="1:7" x14ac:dyDescent="0.25">
      <c r="A69" s="68" t="s">
        <v>63</v>
      </c>
      <c r="B69" s="69">
        <f>B68</f>
        <v>-100000</v>
      </c>
      <c r="C69" s="70">
        <f>C68+B69</f>
        <v>-99048.183653887856</v>
      </c>
      <c r="D69" s="70">
        <f>D68+C69</f>
        <v>-64957.132976579363</v>
      </c>
      <c r="E69" s="70">
        <f>E68+D69</f>
        <v>-26397.396614783967</v>
      </c>
      <c r="F69" s="71">
        <f>F68+E69</f>
        <v>17093.732478521386</v>
      </c>
      <c r="G69" t="s">
        <v>51</v>
      </c>
    </row>
    <row r="70" spans="1:7" x14ac:dyDescent="0.25">
      <c r="A70" s="51" t="s">
        <v>64</v>
      </c>
      <c r="B70" s="35">
        <f>B69</f>
        <v>-100000</v>
      </c>
      <c r="C70" s="65">
        <f>C68*1.04^-1</f>
        <v>915.20802510783062</v>
      </c>
      <c r="D70" s="65">
        <f>D68*1.04^-2</f>
        <v>31519.092712008587</v>
      </c>
      <c r="E70" s="65">
        <f>E68*1.04^-3</f>
        <v>34279.465216946577</v>
      </c>
      <c r="F70" s="66">
        <f>F68*1.04^-4</f>
        <v>37176.399421572249</v>
      </c>
      <c r="G70" s="67">
        <f>SUM(B70:F70)</f>
        <v>3890.1653756352389</v>
      </c>
    </row>
    <row r="71" spans="1:7" x14ac:dyDescent="0.25">
      <c r="C71" s="23"/>
    </row>
  </sheetData>
  <mergeCells count="10">
    <mergeCell ref="A13:B13"/>
    <mergeCell ref="A15:F15"/>
    <mergeCell ref="A16:F16"/>
    <mergeCell ref="A17:F17"/>
    <mergeCell ref="B2:F2"/>
    <mergeCell ref="B3:F3"/>
    <mergeCell ref="A10:C10"/>
    <mergeCell ref="A7:C7"/>
    <mergeCell ref="A8:C8"/>
    <mergeCell ref="A9:C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Kellian 67</dc:creator>
  <cp:lastModifiedBy>Kellian 67</cp:lastModifiedBy>
  <dcterms:created xsi:type="dcterms:W3CDTF">2015-06-05T18:19:34Z</dcterms:created>
  <dcterms:modified xsi:type="dcterms:W3CDTF">2020-11-04T08:15:51Z</dcterms:modified>
</cp:coreProperties>
</file>