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ARI\Documents\IPB\Semester II\Manajemen Data Statistika\Praktikum\Data-Base-Ruangan-IPB\"/>
    </mc:Choice>
  </mc:AlternateContent>
  <xr:revisionPtr revIDLastSave="0" documentId="13_ncr:1_{026748DA-8D6F-483F-A247-730A5B3292D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ntah" sheetId="1" r:id="rId1"/>
    <sheet name="Prodi (fix)" sheetId="2" r:id="rId2"/>
    <sheet name="Fakultas (fix)" sheetId="3" r:id="rId3"/>
    <sheet name="Mata Kuliah (fix)" sheetId="4" r:id="rId4"/>
    <sheet name="Jadwal Kuliah (fix)" sheetId="6" r:id="rId5"/>
    <sheet name="Ruangan (fix)" sheetId="7" r:id="rId6"/>
  </sheets>
  <definedNames>
    <definedName name="_xlnm._FilterDatabase" localSheetId="0" hidden="1">Mentah!$A$1:$AA$1759</definedName>
    <definedName name="_xlnm._FilterDatabase" localSheetId="5" hidden="1">'Ruangan (fix)'!$A$1:$Z$1</definedName>
  </definedNames>
  <calcPr calcId="191029"/>
</workbook>
</file>

<file path=xl/calcChain.xml><?xml version="1.0" encoding="utf-8"?>
<calcChain xmlns="http://schemas.openxmlformats.org/spreadsheetml/2006/main">
  <c r="H552" i="7" l="1"/>
  <c r="E552" i="7"/>
  <c r="G552" i="7" s="1"/>
  <c r="H551" i="7"/>
  <c r="E551" i="7"/>
  <c r="G551" i="7" s="1"/>
  <c r="H550" i="7"/>
  <c r="E550" i="7"/>
  <c r="G550" i="7" s="1"/>
  <c r="H549" i="7"/>
  <c r="E549" i="7"/>
  <c r="G549" i="7" s="1"/>
  <c r="H548" i="7"/>
  <c r="E548" i="7"/>
  <c r="G548" i="7" s="1"/>
  <c r="H547" i="7"/>
  <c r="E547" i="7"/>
  <c r="G547" i="7" s="1"/>
  <c r="H546" i="7"/>
  <c r="E546" i="7"/>
  <c r="G546" i="7" s="1"/>
  <c r="H545" i="7"/>
  <c r="E545" i="7"/>
  <c r="G545" i="7" s="1"/>
  <c r="H544" i="7"/>
  <c r="E544" i="7"/>
  <c r="G544" i="7" s="1"/>
  <c r="H543" i="7"/>
  <c r="E543" i="7"/>
  <c r="G543" i="7" s="1"/>
  <c r="H542" i="7"/>
  <c r="E542" i="7"/>
  <c r="G542" i="7" s="1"/>
  <c r="H541" i="7"/>
  <c r="E541" i="7"/>
  <c r="G541" i="7" s="1"/>
  <c r="H540" i="7"/>
  <c r="E540" i="7"/>
  <c r="G540" i="7" s="1"/>
  <c r="H539" i="7"/>
  <c r="E539" i="7"/>
  <c r="G539" i="7" s="1"/>
  <c r="H538" i="7"/>
  <c r="E538" i="7"/>
  <c r="G538" i="7" s="1"/>
  <c r="H537" i="7"/>
  <c r="E537" i="7"/>
  <c r="G537" i="7" s="1"/>
  <c r="H536" i="7"/>
  <c r="E536" i="7"/>
  <c r="G536" i="7" s="1"/>
  <c r="H535" i="7"/>
  <c r="E535" i="7"/>
  <c r="G535" i="7" s="1"/>
  <c r="H534" i="7"/>
  <c r="E534" i="7"/>
  <c r="G534" i="7" s="1"/>
  <c r="H533" i="7"/>
  <c r="E533" i="7"/>
  <c r="G533" i="7" s="1"/>
  <c r="H532" i="7"/>
  <c r="E532" i="7"/>
  <c r="G532" i="7" s="1"/>
  <c r="H531" i="7"/>
  <c r="E531" i="7"/>
  <c r="G531" i="7" s="1"/>
  <c r="H530" i="7"/>
  <c r="G530" i="7"/>
  <c r="H529" i="7"/>
  <c r="G529" i="7"/>
  <c r="H528" i="7"/>
  <c r="G528" i="7"/>
  <c r="H527" i="7"/>
  <c r="G527" i="7"/>
  <c r="H526" i="7"/>
  <c r="G526" i="7"/>
  <c r="H525" i="7"/>
  <c r="G525" i="7"/>
  <c r="H524" i="7"/>
  <c r="G524" i="7"/>
  <c r="H523" i="7"/>
  <c r="G523" i="7"/>
  <c r="H522" i="7"/>
  <c r="G522" i="7"/>
  <c r="H521" i="7"/>
  <c r="G521" i="7"/>
  <c r="H520" i="7"/>
  <c r="G520" i="7"/>
  <c r="H519" i="7"/>
  <c r="G519" i="7"/>
  <c r="H518" i="7"/>
  <c r="G518" i="7"/>
  <c r="H517" i="7"/>
  <c r="G517" i="7"/>
  <c r="H516" i="7"/>
  <c r="G516" i="7"/>
  <c r="H515" i="7"/>
  <c r="G515" i="7"/>
  <c r="H514" i="7"/>
  <c r="G514" i="7"/>
  <c r="H513" i="7"/>
  <c r="G513" i="7"/>
  <c r="H512" i="7"/>
  <c r="G512" i="7"/>
  <c r="H511" i="7"/>
  <c r="G511" i="7"/>
  <c r="H510" i="7"/>
  <c r="G510" i="7"/>
  <c r="H509" i="7"/>
  <c r="G509" i="7"/>
  <c r="H508" i="7"/>
  <c r="G508" i="7"/>
  <c r="H507" i="7"/>
  <c r="G507" i="7"/>
  <c r="H506" i="7"/>
  <c r="G506" i="7"/>
  <c r="H505" i="7"/>
  <c r="G505" i="7"/>
  <c r="H504" i="7"/>
  <c r="G504" i="7"/>
  <c r="H503" i="7"/>
  <c r="G503" i="7"/>
  <c r="H502" i="7"/>
  <c r="G502" i="7"/>
  <c r="H501" i="7"/>
  <c r="G501" i="7"/>
  <c r="H500" i="7"/>
  <c r="G500" i="7"/>
  <c r="H499" i="7"/>
  <c r="G499" i="7"/>
  <c r="H498" i="7"/>
  <c r="G498" i="7"/>
  <c r="H497" i="7"/>
  <c r="G497" i="7"/>
  <c r="H496" i="7"/>
  <c r="G496" i="7"/>
  <c r="H495" i="7"/>
  <c r="G495" i="7"/>
  <c r="H494" i="7"/>
  <c r="G494" i="7"/>
  <c r="H493" i="7"/>
  <c r="G493" i="7"/>
  <c r="H492" i="7"/>
  <c r="G492" i="7"/>
  <c r="H491" i="7"/>
  <c r="G491" i="7"/>
  <c r="H490" i="7"/>
  <c r="G490" i="7"/>
  <c r="H489" i="7"/>
  <c r="G489" i="7"/>
  <c r="H488" i="7"/>
  <c r="G488" i="7"/>
  <c r="H487" i="7"/>
  <c r="G487" i="7"/>
  <c r="H486" i="7"/>
  <c r="G486" i="7"/>
  <c r="H485" i="7"/>
  <c r="G485" i="7"/>
  <c r="H484" i="7"/>
  <c r="G484" i="7"/>
  <c r="H483" i="7"/>
  <c r="G483" i="7"/>
  <c r="H482" i="7"/>
  <c r="G482" i="7"/>
  <c r="H481" i="7"/>
  <c r="G481" i="7"/>
  <c r="H480" i="7"/>
  <c r="G480" i="7"/>
  <c r="H479" i="7"/>
  <c r="G479" i="7"/>
  <c r="H478" i="7"/>
  <c r="G478" i="7"/>
  <c r="H477" i="7"/>
  <c r="G477" i="7"/>
  <c r="H476" i="7"/>
  <c r="G476" i="7"/>
  <c r="H475" i="7"/>
  <c r="G475" i="7"/>
  <c r="H474" i="7"/>
  <c r="G474" i="7"/>
  <c r="H473" i="7"/>
  <c r="G473" i="7"/>
  <c r="H472" i="7"/>
  <c r="G472" i="7"/>
  <c r="H471" i="7"/>
  <c r="G471" i="7"/>
  <c r="H470" i="7"/>
  <c r="G470" i="7"/>
  <c r="H469" i="7"/>
  <c r="G469" i="7"/>
  <c r="H468" i="7"/>
  <c r="G468" i="7"/>
  <c r="H467" i="7"/>
  <c r="G467" i="7"/>
  <c r="H466" i="7"/>
  <c r="G466" i="7"/>
  <c r="H465" i="7"/>
  <c r="G465" i="7"/>
  <c r="H464" i="7"/>
  <c r="G464" i="7"/>
  <c r="H463" i="7"/>
  <c r="G463" i="7"/>
  <c r="H462" i="7"/>
  <c r="G462" i="7"/>
  <c r="H461" i="7"/>
  <c r="G461" i="7"/>
  <c r="H460" i="7"/>
  <c r="G460" i="7"/>
  <c r="H459" i="7"/>
  <c r="G459" i="7"/>
  <c r="H458" i="7"/>
  <c r="G458" i="7"/>
  <c r="H457" i="7"/>
  <c r="G457" i="7"/>
  <c r="H456" i="7"/>
  <c r="G456" i="7"/>
  <c r="H455" i="7"/>
  <c r="G455" i="7"/>
  <c r="H454" i="7"/>
  <c r="G454" i="7"/>
  <c r="H453" i="7"/>
  <c r="G453" i="7"/>
  <c r="H452" i="7"/>
  <c r="G452" i="7"/>
  <c r="H451" i="7"/>
  <c r="G451" i="7"/>
  <c r="H450" i="7"/>
  <c r="G450" i="7"/>
  <c r="H449" i="7"/>
  <c r="G449" i="7"/>
  <c r="H448" i="7"/>
  <c r="G448" i="7"/>
  <c r="H447" i="7"/>
  <c r="G447" i="7"/>
  <c r="H446" i="7"/>
  <c r="G446" i="7"/>
  <c r="H445" i="7"/>
  <c r="G445" i="7"/>
  <c r="H444" i="7"/>
  <c r="G444" i="7"/>
  <c r="H443" i="7"/>
  <c r="G443" i="7"/>
  <c r="H442" i="7"/>
  <c r="G442" i="7"/>
  <c r="H441" i="7"/>
  <c r="G441" i="7"/>
  <c r="H440" i="7"/>
  <c r="G440" i="7"/>
  <c r="H439" i="7"/>
  <c r="G439" i="7"/>
  <c r="H438" i="7"/>
  <c r="G438" i="7"/>
  <c r="H437" i="7"/>
  <c r="G437" i="7"/>
  <c r="H436" i="7"/>
  <c r="G436" i="7"/>
  <c r="H435" i="7"/>
  <c r="G435" i="7"/>
  <c r="H434" i="7"/>
  <c r="G434" i="7"/>
  <c r="H433" i="7"/>
  <c r="G433" i="7"/>
  <c r="H432" i="7"/>
  <c r="G432" i="7"/>
  <c r="H431" i="7"/>
  <c r="G431" i="7"/>
  <c r="H430" i="7"/>
  <c r="G430" i="7"/>
  <c r="H429" i="7"/>
  <c r="G429" i="7"/>
  <c r="H428" i="7"/>
  <c r="G428" i="7"/>
  <c r="H427" i="7"/>
  <c r="G427" i="7"/>
  <c r="H426" i="7"/>
  <c r="G426" i="7"/>
  <c r="H425" i="7"/>
  <c r="G425" i="7"/>
  <c r="H424" i="7"/>
  <c r="E424" i="7"/>
  <c r="G424" i="7" s="1"/>
  <c r="H423" i="7"/>
  <c r="E423" i="7"/>
  <c r="G423" i="7" s="1"/>
  <c r="H422" i="7"/>
  <c r="E422" i="7"/>
  <c r="G422" i="7" s="1"/>
  <c r="H421" i="7"/>
  <c r="E421" i="7"/>
  <c r="G421" i="7" s="1"/>
  <c r="H420" i="7"/>
  <c r="E420" i="7"/>
  <c r="G420" i="7" s="1"/>
  <c r="H419" i="7"/>
  <c r="G419" i="7"/>
  <c r="H418" i="7"/>
  <c r="G418" i="7"/>
  <c r="H417" i="7"/>
  <c r="G417" i="7"/>
  <c r="H416" i="7"/>
  <c r="G416" i="7"/>
  <c r="H415" i="7"/>
  <c r="G415" i="7"/>
  <c r="H414" i="7"/>
  <c r="G414" i="7"/>
  <c r="H413" i="7"/>
  <c r="G413" i="7"/>
  <c r="H412" i="7"/>
  <c r="G412" i="7"/>
  <c r="H411" i="7"/>
  <c r="G411" i="7"/>
  <c r="H410" i="7"/>
  <c r="G410" i="7"/>
  <c r="H409" i="7"/>
  <c r="G409" i="7"/>
  <c r="H408" i="7"/>
  <c r="G408" i="7"/>
  <c r="H407" i="7"/>
  <c r="G407" i="7"/>
  <c r="H406" i="7"/>
  <c r="G406" i="7"/>
  <c r="H405" i="7"/>
  <c r="G405" i="7"/>
  <c r="H404" i="7"/>
  <c r="G404" i="7"/>
  <c r="H403" i="7"/>
  <c r="G403" i="7"/>
  <c r="H402" i="7"/>
  <c r="G402" i="7"/>
  <c r="H401" i="7"/>
  <c r="G401" i="7"/>
  <c r="H400" i="7"/>
  <c r="G400" i="7"/>
  <c r="H399" i="7"/>
  <c r="G399" i="7"/>
  <c r="H398" i="7"/>
  <c r="G398" i="7"/>
  <c r="H397" i="7"/>
  <c r="G397" i="7"/>
  <c r="H396" i="7"/>
  <c r="G396" i="7"/>
  <c r="H395" i="7"/>
  <c r="G395" i="7"/>
  <c r="H394" i="7"/>
  <c r="G394" i="7"/>
  <c r="H393" i="7"/>
  <c r="G393" i="7"/>
  <c r="H392" i="7"/>
  <c r="G392" i="7"/>
  <c r="H391" i="7"/>
  <c r="G391" i="7"/>
  <c r="H390" i="7"/>
  <c r="G390" i="7"/>
  <c r="H389" i="7"/>
  <c r="G389" i="7"/>
  <c r="H388" i="7"/>
  <c r="G388" i="7"/>
  <c r="H387" i="7"/>
  <c r="G387" i="7"/>
  <c r="H386" i="7"/>
  <c r="G386" i="7"/>
  <c r="H385" i="7"/>
  <c r="G385" i="7"/>
  <c r="H384" i="7"/>
  <c r="G384" i="7"/>
  <c r="H383" i="7"/>
  <c r="G383" i="7"/>
  <c r="H382" i="7"/>
  <c r="G382" i="7"/>
  <c r="H381" i="7"/>
  <c r="G381" i="7"/>
  <c r="H380" i="7"/>
  <c r="G380" i="7"/>
  <c r="H379" i="7"/>
  <c r="G379" i="7"/>
  <c r="H378" i="7"/>
  <c r="G378" i="7"/>
  <c r="H377" i="7"/>
  <c r="G377" i="7"/>
  <c r="H376" i="7"/>
  <c r="G376" i="7"/>
  <c r="H375" i="7"/>
  <c r="G375" i="7"/>
  <c r="H374" i="7"/>
  <c r="G374" i="7"/>
  <c r="H373" i="7"/>
  <c r="G373" i="7"/>
  <c r="H372" i="7"/>
  <c r="G372" i="7"/>
  <c r="H371" i="7"/>
  <c r="G371" i="7"/>
  <c r="H370" i="7"/>
  <c r="G370" i="7"/>
  <c r="H369" i="7"/>
  <c r="G369" i="7"/>
  <c r="H368" i="7"/>
  <c r="G368" i="7"/>
  <c r="H367" i="7"/>
  <c r="G367" i="7"/>
  <c r="H366" i="7"/>
  <c r="G366" i="7"/>
  <c r="H365" i="7"/>
  <c r="G365" i="7"/>
  <c r="H364" i="7"/>
  <c r="G364" i="7"/>
  <c r="H363" i="7"/>
  <c r="G363" i="7"/>
  <c r="H362" i="7"/>
  <c r="G362" i="7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E334" i="7"/>
  <c r="H333" i="7"/>
  <c r="E333" i="7"/>
  <c r="G333" i="7" s="1"/>
  <c r="H332" i="7"/>
  <c r="E332" i="7"/>
  <c r="G332" i="7" s="1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E311" i="7"/>
  <c r="G311" i="7" s="1"/>
  <c r="H310" i="7"/>
  <c r="E310" i="7"/>
  <c r="G310" i="7" s="1"/>
  <c r="H309" i="7"/>
  <c r="G309" i="7"/>
  <c r="E309" i="7"/>
  <c r="H308" i="7"/>
  <c r="E308" i="7"/>
  <c r="G308" i="7" s="1"/>
  <c r="H307" i="7"/>
  <c r="E307" i="7"/>
  <c r="G307" i="7" s="1"/>
  <c r="H306" i="7"/>
  <c r="E306" i="7"/>
  <c r="G306" i="7" s="1"/>
  <c r="H305" i="7"/>
  <c r="E305" i="7"/>
  <c r="G305" i="7" s="1"/>
  <c r="H304" i="7"/>
  <c r="G304" i="7"/>
  <c r="E304" i="7"/>
  <c r="H303" i="7"/>
  <c r="E303" i="7"/>
  <c r="G303" i="7" s="1"/>
  <c r="H302" i="7"/>
  <c r="E302" i="7"/>
  <c r="G302" i="7" s="1"/>
  <c r="H301" i="7"/>
  <c r="E301" i="7"/>
  <c r="G301" i="7" s="1"/>
  <c r="H300" i="7"/>
  <c r="E300" i="7"/>
  <c r="G300" i="7" s="1"/>
  <c r="H299" i="7"/>
  <c r="E299" i="7"/>
  <c r="G299" i="7" s="1"/>
  <c r="H298" i="7"/>
  <c r="E298" i="7"/>
  <c r="G298" i="7" s="1"/>
  <c r="H297" i="7"/>
  <c r="E297" i="7"/>
  <c r="G297" i="7" s="1"/>
  <c r="H296" i="7"/>
  <c r="E296" i="7"/>
  <c r="G296" i="7" s="1"/>
  <c r="H295" i="7"/>
  <c r="E295" i="7"/>
  <c r="G295" i="7" s="1"/>
  <c r="H294" i="7"/>
  <c r="E294" i="7"/>
  <c r="G294" i="7" s="1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E274" i="7"/>
  <c r="G274" i="7" s="1"/>
  <c r="H273" i="7"/>
  <c r="E273" i="7"/>
  <c r="G273" i="7" s="1"/>
  <c r="H272" i="7"/>
  <c r="E272" i="7"/>
  <c r="G272" i="7" s="1"/>
  <c r="H271" i="7"/>
  <c r="E271" i="7"/>
  <c r="G271" i="7" s="1"/>
  <c r="H270" i="7"/>
  <c r="E270" i="7"/>
  <c r="G270" i="7" s="1"/>
  <c r="H269" i="7"/>
  <c r="E269" i="7"/>
  <c r="G269" i="7" s="1"/>
  <c r="H268" i="7"/>
  <c r="E268" i="7"/>
  <c r="G268" i="7" s="1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E200" i="7"/>
  <c r="G200" i="7" s="1"/>
  <c r="H199" i="7"/>
  <c r="E199" i="7"/>
  <c r="G199" i="7" s="1"/>
  <c r="H198" i="7"/>
  <c r="E198" i="7"/>
  <c r="G198" i="7" s="1"/>
  <c r="H197" i="7"/>
  <c r="E197" i="7"/>
  <c r="G197" i="7" s="1"/>
  <c r="H196" i="7"/>
  <c r="E196" i="7"/>
  <c r="G196" i="7" s="1"/>
  <c r="H195" i="7"/>
  <c r="E195" i="7"/>
  <c r="G195" i="7" s="1"/>
  <c r="H194" i="7"/>
  <c r="E194" i="7"/>
  <c r="G194" i="7" s="1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E113" i="7"/>
  <c r="G113" i="7" s="1"/>
  <c r="H112" i="7"/>
  <c r="E112" i="7"/>
  <c r="G112" i="7" s="1"/>
  <c r="H111" i="7"/>
  <c r="E111" i="7"/>
  <c r="G111" i="7" s="1"/>
  <c r="H110" i="7"/>
  <c r="E110" i="7"/>
  <c r="G110" i="7" s="1"/>
  <c r="H109" i="7"/>
  <c r="E109" i="7"/>
  <c r="G109" i="7" s="1"/>
  <c r="H108" i="7"/>
  <c r="E108" i="7"/>
  <c r="G108" i="7" s="1"/>
  <c r="H107" i="7"/>
  <c r="E107" i="7"/>
  <c r="G107" i="7" s="1"/>
  <c r="H106" i="7"/>
  <c r="E106" i="7"/>
  <c r="G106" i="7" s="1"/>
  <c r="H105" i="7"/>
  <c r="E105" i="7"/>
  <c r="G105" i="7" s="1"/>
  <c r="H104" i="7"/>
  <c r="E104" i="7"/>
  <c r="G104" i="7" s="1"/>
  <c r="H103" i="7"/>
  <c r="E103" i="7"/>
  <c r="G103" i="7" s="1"/>
  <c r="H102" i="7"/>
  <c r="E102" i="7"/>
  <c r="G102" i="7" s="1"/>
  <c r="H101" i="7"/>
  <c r="E101" i="7"/>
  <c r="G101" i="7" s="1"/>
  <c r="H100" i="7"/>
  <c r="E100" i="7"/>
  <c r="G100" i="7" s="1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E37" i="7"/>
  <c r="G37" i="7" s="1"/>
  <c r="H36" i="7"/>
  <c r="G36" i="7"/>
  <c r="E36" i="7"/>
  <c r="H35" i="7"/>
  <c r="E35" i="7"/>
  <c r="G35" i="7" s="1"/>
  <c r="H34" i="7"/>
  <c r="E34" i="7"/>
  <c r="G34" i="7" s="1"/>
  <c r="H33" i="7"/>
  <c r="E33" i="7"/>
  <c r="G33" i="7" s="1"/>
  <c r="H32" i="7"/>
  <c r="G32" i="7"/>
  <c r="E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A668" i="4"/>
  <c r="A667" i="4"/>
  <c r="E667" i="4" s="1"/>
  <c r="A666" i="4"/>
  <c r="D666" i="4" s="1"/>
  <c r="A665" i="4"/>
  <c r="E665" i="4" s="1"/>
  <c r="A664" i="4"/>
  <c r="A663" i="4"/>
  <c r="E663" i="4" s="1"/>
  <c r="A662" i="4"/>
  <c r="A661" i="4"/>
  <c r="A660" i="4"/>
  <c r="A659" i="4"/>
  <c r="E659" i="4" s="1"/>
  <c r="A658" i="4"/>
  <c r="A657" i="4"/>
  <c r="C657" i="4" s="1"/>
  <c r="A656" i="4"/>
  <c r="A655" i="4"/>
  <c r="E655" i="4" s="1"/>
  <c r="A654" i="4"/>
  <c r="A653" i="4"/>
  <c r="A652" i="4"/>
  <c r="A651" i="4"/>
  <c r="E651" i="4" s="1"/>
  <c r="A650" i="4"/>
  <c r="D650" i="4" s="1"/>
  <c r="A649" i="4"/>
  <c r="C649" i="4" s="1"/>
  <c r="A648" i="4"/>
  <c r="C648" i="4" s="1"/>
  <c r="A647" i="4"/>
  <c r="E647" i="4" s="1"/>
  <c r="A646" i="4"/>
  <c r="A645" i="4"/>
  <c r="A644" i="4"/>
  <c r="C644" i="4" s="1"/>
  <c r="A643" i="4"/>
  <c r="E643" i="4" s="1"/>
  <c r="A642" i="4"/>
  <c r="E642" i="4" s="1"/>
  <c r="A641" i="4"/>
  <c r="A640" i="4"/>
  <c r="A639" i="4"/>
  <c r="E639" i="4" s="1"/>
  <c r="A638" i="4"/>
  <c r="C638" i="4" s="1"/>
  <c r="A637" i="4"/>
  <c r="A636" i="4"/>
  <c r="A635" i="4"/>
  <c r="E635" i="4" s="1"/>
  <c r="A634" i="4"/>
  <c r="A633" i="4"/>
  <c r="E633" i="4" s="1"/>
  <c r="A632" i="4"/>
  <c r="A631" i="4"/>
  <c r="E631" i="4" s="1"/>
  <c r="A630" i="4"/>
  <c r="E630" i="4" s="1"/>
  <c r="A629" i="4"/>
  <c r="A628" i="4"/>
  <c r="A627" i="4"/>
  <c r="E627" i="4" s="1"/>
  <c r="A626" i="4"/>
  <c r="A625" i="4"/>
  <c r="C625" i="4" s="1"/>
  <c r="A624" i="4"/>
  <c r="A623" i="4"/>
  <c r="E623" i="4" s="1"/>
  <c r="A622" i="4"/>
  <c r="C622" i="4" s="1"/>
  <c r="A621" i="4"/>
  <c r="D621" i="4" s="1"/>
  <c r="A620" i="4"/>
  <c r="A619" i="4"/>
  <c r="E619" i="4" s="1"/>
  <c r="A618" i="4"/>
  <c r="E618" i="4" s="1"/>
  <c r="A617" i="4"/>
  <c r="C617" i="4" s="1"/>
  <c r="A616" i="4"/>
  <c r="C616" i="4" s="1"/>
  <c r="A615" i="4"/>
  <c r="E615" i="4" s="1"/>
  <c r="A614" i="4"/>
  <c r="C614" i="4" s="1"/>
  <c r="A613" i="4"/>
  <c r="A612" i="4"/>
  <c r="C612" i="4" s="1"/>
  <c r="A611" i="4"/>
  <c r="E611" i="4" s="1"/>
  <c r="A610" i="4"/>
  <c r="D610" i="4" s="1"/>
  <c r="A609" i="4"/>
  <c r="A608" i="4"/>
  <c r="C608" i="4" s="1"/>
  <c r="A607" i="4"/>
  <c r="E607" i="4" s="1"/>
  <c r="A606" i="4"/>
  <c r="A605" i="4"/>
  <c r="A604" i="4"/>
  <c r="A603" i="4"/>
  <c r="E603" i="4" s="1"/>
  <c r="A602" i="4"/>
  <c r="E602" i="4" s="1"/>
  <c r="A601" i="4"/>
  <c r="E601" i="4" s="1"/>
  <c r="A600" i="4"/>
  <c r="A599" i="4"/>
  <c r="E599" i="4" s="1"/>
  <c r="A598" i="4"/>
  <c r="A597" i="4"/>
  <c r="A596" i="4"/>
  <c r="A595" i="4"/>
  <c r="E595" i="4" s="1"/>
  <c r="A594" i="4"/>
  <c r="C594" i="4" s="1"/>
  <c r="A593" i="4"/>
  <c r="E593" i="4" s="1"/>
  <c r="A592" i="4"/>
  <c r="A591" i="4"/>
  <c r="E591" i="4" s="1"/>
  <c r="A590" i="4"/>
  <c r="D590" i="4" s="1"/>
  <c r="A589" i="4"/>
  <c r="E589" i="4" s="1"/>
  <c r="A588" i="4"/>
  <c r="C588" i="4" s="1"/>
  <c r="A587" i="4"/>
  <c r="E587" i="4" s="1"/>
  <c r="A586" i="4"/>
  <c r="E586" i="4" s="1"/>
  <c r="A585" i="4"/>
  <c r="A584" i="4"/>
  <c r="A583" i="4"/>
  <c r="A582" i="4"/>
  <c r="A581" i="4"/>
  <c r="E581" i="4" s="1"/>
  <c r="A580" i="4"/>
  <c r="A579" i="4"/>
  <c r="E579" i="4" s="1"/>
  <c r="A578" i="4"/>
  <c r="C578" i="4" s="1"/>
  <c r="A577" i="4"/>
  <c r="E577" i="4" s="1"/>
  <c r="A576" i="4"/>
  <c r="A575" i="4"/>
  <c r="A574" i="4"/>
  <c r="D574" i="4" s="1"/>
  <c r="A573" i="4"/>
  <c r="A572" i="4"/>
  <c r="A571" i="4"/>
  <c r="A570" i="4"/>
  <c r="A569" i="4"/>
  <c r="D569" i="4" s="1"/>
  <c r="A568" i="4"/>
  <c r="A567" i="4"/>
  <c r="E567" i="4" s="1"/>
  <c r="A566" i="4"/>
  <c r="C566" i="4" s="1"/>
  <c r="A565" i="4"/>
  <c r="A564" i="4"/>
  <c r="A563" i="4"/>
  <c r="A562" i="4"/>
  <c r="D562" i="4" s="1"/>
  <c r="A561" i="4"/>
  <c r="E561" i="4" s="1"/>
  <c r="A560" i="4"/>
  <c r="A559" i="4"/>
  <c r="E559" i="4" s="1"/>
  <c r="A558" i="4"/>
  <c r="A557" i="4"/>
  <c r="A556" i="4"/>
  <c r="C556" i="4" s="1"/>
  <c r="A555" i="4"/>
  <c r="A554" i="4"/>
  <c r="A553" i="4"/>
  <c r="A552" i="4"/>
  <c r="D552" i="4" s="1"/>
  <c r="A551" i="4"/>
  <c r="A550" i="4"/>
  <c r="A549" i="4"/>
  <c r="A548" i="4"/>
  <c r="A547" i="4"/>
  <c r="E547" i="4" s="1"/>
  <c r="A546" i="4"/>
  <c r="E546" i="4" s="1"/>
  <c r="A545" i="4"/>
  <c r="E545" i="4" s="1"/>
  <c r="A544" i="4"/>
  <c r="A543" i="4"/>
  <c r="A542" i="4"/>
  <c r="E542" i="4" s="1"/>
  <c r="A541" i="4"/>
  <c r="A540" i="4"/>
  <c r="A539" i="4"/>
  <c r="E539" i="4" s="1"/>
  <c r="A538" i="4"/>
  <c r="E538" i="4" s="1"/>
  <c r="A537" i="4"/>
  <c r="D537" i="4" s="1"/>
  <c r="A536" i="4"/>
  <c r="A535" i="4"/>
  <c r="E535" i="4" s="1"/>
  <c r="A534" i="4"/>
  <c r="A533" i="4"/>
  <c r="A532" i="4"/>
  <c r="C532" i="4" s="1"/>
  <c r="A531" i="4"/>
  <c r="A530" i="4"/>
  <c r="A529" i="4"/>
  <c r="E529" i="4" s="1"/>
  <c r="A528" i="4"/>
  <c r="A527" i="4"/>
  <c r="E527" i="4" s="1"/>
  <c r="A526" i="4"/>
  <c r="E526" i="4" s="1"/>
  <c r="A525" i="4"/>
  <c r="D525" i="4" s="1"/>
  <c r="A524" i="4"/>
  <c r="A523" i="4"/>
  <c r="A522" i="4"/>
  <c r="A521" i="4"/>
  <c r="A520" i="4"/>
  <c r="A519" i="4"/>
  <c r="A518" i="4"/>
  <c r="E518" i="4" s="1"/>
  <c r="A517" i="4"/>
  <c r="E517" i="4" s="1"/>
  <c r="A516" i="4"/>
  <c r="A515" i="4"/>
  <c r="E515" i="4" s="1"/>
  <c r="A514" i="4"/>
  <c r="C514" i="4" s="1"/>
  <c r="A513" i="4"/>
  <c r="E513" i="4" s="1"/>
  <c r="A512" i="4"/>
  <c r="D512" i="4" s="1"/>
  <c r="A511" i="4"/>
  <c r="A510" i="4"/>
  <c r="A509" i="4"/>
  <c r="C509" i="4" s="1"/>
  <c r="A508" i="4"/>
  <c r="A507" i="4"/>
  <c r="A506" i="4"/>
  <c r="A505" i="4"/>
  <c r="D505" i="4" s="1"/>
  <c r="A504" i="4"/>
  <c r="A503" i="4"/>
  <c r="E503" i="4" s="1"/>
  <c r="A502" i="4"/>
  <c r="E502" i="4" s="1"/>
  <c r="A501" i="4"/>
  <c r="A500" i="4"/>
  <c r="C500" i="4" s="1"/>
  <c r="A499" i="4"/>
  <c r="A498" i="4"/>
  <c r="E498" i="4" s="1"/>
  <c r="A497" i="4"/>
  <c r="D497" i="4" s="1"/>
  <c r="A496" i="4"/>
  <c r="A495" i="4"/>
  <c r="E495" i="4" s="1"/>
  <c r="A494" i="4"/>
  <c r="E494" i="4" s="1"/>
  <c r="A493" i="4"/>
  <c r="D493" i="4" s="1"/>
  <c r="A492" i="4"/>
  <c r="C492" i="4" s="1"/>
  <c r="A491" i="4"/>
  <c r="A490" i="4"/>
  <c r="A489" i="4"/>
  <c r="A488" i="4"/>
  <c r="A487" i="4"/>
  <c r="A486" i="4"/>
  <c r="D486" i="4" s="1"/>
  <c r="A485" i="4"/>
  <c r="A484" i="4"/>
  <c r="A483" i="4"/>
  <c r="E483" i="4" s="1"/>
  <c r="A482" i="4"/>
  <c r="A481" i="4"/>
  <c r="E481" i="4" s="1"/>
  <c r="A480" i="4"/>
  <c r="A479" i="4"/>
  <c r="A478" i="4"/>
  <c r="E478" i="4" s="1"/>
  <c r="A477" i="4"/>
  <c r="C477" i="4" s="1"/>
  <c r="A476" i="4"/>
  <c r="A475" i="4"/>
  <c r="A474" i="4"/>
  <c r="E474" i="4" s="1"/>
  <c r="A473" i="4"/>
  <c r="E473" i="4" s="1"/>
  <c r="A472" i="4"/>
  <c r="A471" i="4"/>
  <c r="E471" i="4" s="1"/>
  <c r="A470" i="4"/>
  <c r="A469" i="4"/>
  <c r="A468" i="4"/>
  <c r="A467" i="4"/>
  <c r="A466" i="4"/>
  <c r="A465" i="4"/>
  <c r="E465" i="4" s="1"/>
  <c r="A464" i="4"/>
  <c r="A463" i="4"/>
  <c r="E463" i="4" s="1"/>
  <c r="A462" i="4"/>
  <c r="A461" i="4"/>
  <c r="A460" i="4"/>
  <c r="A459" i="4"/>
  <c r="A458" i="4"/>
  <c r="A457" i="4"/>
  <c r="A456" i="4"/>
  <c r="A455" i="4"/>
  <c r="A454" i="4"/>
  <c r="A453" i="4"/>
  <c r="E453" i="4" s="1"/>
  <c r="A452" i="4"/>
  <c r="A451" i="4"/>
  <c r="E451" i="4" s="1"/>
  <c r="A450" i="4"/>
  <c r="A449" i="4"/>
  <c r="E449" i="4" s="1"/>
  <c r="A448" i="4"/>
  <c r="A447" i="4"/>
  <c r="A446" i="4"/>
  <c r="E446" i="4" s="1"/>
  <c r="A445" i="4"/>
  <c r="A444" i="4"/>
  <c r="A443" i="4"/>
  <c r="A442" i="4"/>
  <c r="D442" i="4" s="1"/>
  <c r="A441" i="4"/>
  <c r="D441" i="4" s="1"/>
  <c r="A440" i="4"/>
  <c r="A439" i="4"/>
  <c r="E439" i="4" s="1"/>
  <c r="A438" i="4"/>
  <c r="E438" i="4" s="1"/>
  <c r="A437" i="4"/>
  <c r="A436" i="4"/>
  <c r="C436" i="4" s="1"/>
  <c r="A435" i="4"/>
  <c r="A434" i="4"/>
  <c r="E434" i="4" s="1"/>
  <c r="A433" i="4"/>
  <c r="C433" i="4" s="1"/>
  <c r="A432" i="4"/>
  <c r="A431" i="4"/>
  <c r="E431" i="4" s="1"/>
  <c r="A430" i="4"/>
  <c r="D430" i="4" s="1"/>
  <c r="A429" i="4"/>
  <c r="D429" i="4" s="1"/>
  <c r="A428" i="4"/>
  <c r="A427" i="4"/>
  <c r="A426" i="4"/>
  <c r="C426" i="4" s="1"/>
  <c r="A425" i="4"/>
  <c r="A424" i="4"/>
  <c r="D424" i="4" s="1"/>
  <c r="A423" i="4"/>
  <c r="A422" i="4"/>
  <c r="A421" i="4"/>
  <c r="C421" i="4" s="1"/>
  <c r="A420" i="4"/>
  <c r="A419" i="4"/>
  <c r="E419" i="4" s="1"/>
  <c r="A418" i="4"/>
  <c r="E418" i="4" s="1"/>
  <c r="A417" i="4"/>
  <c r="E417" i="4" s="1"/>
  <c r="A416" i="4"/>
  <c r="D416" i="4" s="1"/>
  <c r="A415" i="4"/>
  <c r="A414" i="4"/>
  <c r="C414" i="4" s="1"/>
  <c r="A413" i="4"/>
  <c r="A412" i="4"/>
  <c r="A411" i="4"/>
  <c r="E411" i="4" s="1"/>
  <c r="A410" i="4"/>
  <c r="E410" i="4" s="1"/>
  <c r="A409" i="4"/>
  <c r="C409" i="4" s="1"/>
  <c r="A408" i="4"/>
  <c r="A407" i="4"/>
  <c r="C407" i="4" s="1"/>
  <c r="A406" i="4"/>
  <c r="C406" i="4" s="1"/>
  <c r="A405" i="4"/>
  <c r="A404" i="4"/>
  <c r="E404" i="4" s="1"/>
  <c r="A403" i="4"/>
  <c r="C403" i="4" s="1"/>
  <c r="A402" i="4"/>
  <c r="A401" i="4"/>
  <c r="E401" i="4" s="1"/>
  <c r="A400" i="4"/>
  <c r="D400" i="4" s="1"/>
  <c r="A399" i="4"/>
  <c r="A398" i="4"/>
  <c r="E398" i="4" s="1"/>
  <c r="A397" i="4"/>
  <c r="E397" i="4" s="1"/>
  <c r="A396" i="4"/>
  <c r="A395" i="4"/>
  <c r="C395" i="4" s="1"/>
  <c r="A394" i="4"/>
  <c r="E394" i="4" s="1"/>
  <c r="A393" i="4"/>
  <c r="A392" i="4"/>
  <c r="E392" i="4" s="1"/>
  <c r="A391" i="4"/>
  <c r="D391" i="4" s="1"/>
  <c r="A390" i="4"/>
  <c r="A389" i="4"/>
  <c r="A388" i="4"/>
  <c r="C388" i="4" s="1"/>
  <c r="A387" i="4"/>
  <c r="C387" i="4" s="1"/>
  <c r="A386" i="4"/>
  <c r="D386" i="4" s="1"/>
  <c r="A385" i="4"/>
  <c r="A384" i="4"/>
  <c r="E384" i="4" s="1"/>
  <c r="A383" i="4"/>
  <c r="A382" i="4"/>
  <c r="A381" i="4"/>
  <c r="A380" i="4"/>
  <c r="E380" i="4" s="1"/>
  <c r="A379" i="4"/>
  <c r="A378" i="4"/>
  <c r="A377" i="4"/>
  <c r="E377" i="4" s="1"/>
  <c r="A376" i="4"/>
  <c r="A375" i="4"/>
  <c r="C375" i="4" s="1"/>
  <c r="A374" i="4"/>
  <c r="C374" i="4" s="1"/>
  <c r="A373" i="4"/>
  <c r="A372" i="4"/>
  <c r="E372" i="4" s="1"/>
  <c r="A371" i="4"/>
  <c r="C371" i="4" s="1"/>
  <c r="A370" i="4"/>
  <c r="A369" i="4"/>
  <c r="E369" i="4" s="1"/>
  <c r="A368" i="4"/>
  <c r="A367" i="4"/>
  <c r="A366" i="4"/>
  <c r="E366" i="4" s="1"/>
  <c r="A365" i="4"/>
  <c r="A364" i="4"/>
  <c r="A363" i="4"/>
  <c r="C363" i="4" s="1"/>
  <c r="A362" i="4"/>
  <c r="A361" i="4"/>
  <c r="A360" i="4"/>
  <c r="E360" i="4" s="1"/>
  <c r="A359" i="4"/>
  <c r="E359" i="4" s="1"/>
  <c r="A358" i="4"/>
  <c r="A357" i="4"/>
  <c r="D357" i="4" s="1"/>
  <c r="A356" i="4"/>
  <c r="C356" i="4" s="1"/>
  <c r="A355" i="4"/>
  <c r="C355" i="4" s="1"/>
  <c r="A354" i="4"/>
  <c r="D354" i="4" s="1"/>
  <c r="A353" i="4"/>
  <c r="A352" i="4"/>
  <c r="E352" i="4" s="1"/>
  <c r="A351" i="4"/>
  <c r="E351" i="4" s="1"/>
  <c r="A350" i="4"/>
  <c r="D350" i="4" s="1"/>
  <c r="A349" i="4"/>
  <c r="A348" i="4"/>
  <c r="C348" i="4" s="1"/>
  <c r="A347" i="4"/>
  <c r="A346" i="4"/>
  <c r="A345" i="4"/>
  <c r="C345" i="4" s="1"/>
  <c r="A344" i="4"/>
  <c r="A343" i="4"/>
  <c r="C343" i="4" s="1"/>
  <c r="A342" i="4"/>
  <c r="C342" i="4" s="1"/>
  <c r="A341" i="4"/>
  <c r="A340" i="4"/>
  <c r="E340" i="4" s="1"/>
  <c r="A339" i="4"/>
  <c r="D339" i="4" s="1"/>
  <c r="A338" i="4"/>
  <c r="D338" i="4" s="1"/>
  <c r="A337" i="4"/>
  <c r="A336" i="4"/>
  <c r="E336" i="4" s="1"/>
  <c r="A335" i="4"/>
  <c r="C335" i="4" s="1"/>
  <c r="A334" i="4"/>
  <c r="D334" i="4" s="1"/>
  <c r="A333" i="4"/>
  <c r="A332" i="4"/>
  <c r="E332" i="4" s="1"/>
  <c r="A331" i="4"/>
  <c r="C331" i="4" s="1"/>
  <c r="A330" i="4"/>
  <c r="A329" i="4"/>
  <c r="A328" i="4"/>
  <c r="E328" i="4" s="1"/>
  <c r="A327" i="4"/>
  <c r="C327" i="4" s="1"/>
  <c r="A326" i="4"/>
  <c r="D326" i="4" s="1"/>
  <c r="A325" i="4"/>
  <c r="A324" i="4"/>
  <c r="E324" i="4" s="1"/>
  <c r="A323" i="4"/>
  <c r="D323" i="4" s="1"/>
  <c r="A322" i="4"/>
  <c r="D322" i="4" s="1"/>
  <c r="A321" i="4"/>
  <c r="A320" i="4"/>
  <c r="E320" i="4" s="1"/>
  <c r="A319" i="4"/>
  <c r="E319" i="4" s="1"/>
  <c r="A318" i="4"/>
  <c r="D318" i="4" s="1"/>
  <c r="A317" i="4"/>
  <c r="A316" i="4"/>
  <c r="E316" i="4" s="1"/>
  <c r="A315" i="4"/>
  <c r="E315" i="4" s="1"/>
  <c r="A314" i="4"/>
  <c r="D314" i="4" s="1"/>
  <c r="A313" i="4"/>
  <c r="A312" i="4"/>
  <c r="E312" i="4" s="1"/>
  <c r="A311" i="4"/>
  <c r="C311" i="4" s="1"/>
  <c r="A310" i="4"/>
  <c r="D310" i="4" s="1"/>
  <c r="A309" i="4"/>
  <c r="A308" i="4"/>
  <c r="E308" i="4" s="1"/>
  <c r="A307" i="4"/>
  <c r="D307" i="4" s="1"/>
  <c r="A306" i="4"/>
  <c r="D306" i="4" s="1"/>
  <c r="A305" i="4"/>
  <c r="A304" i="4"/>
  <c r="E304" i="4" s="1"/>
  <c r="A303" i="4"/>
  <c r="A302" i="4"/>
  <c r="D302" i="4" s="1"/>
  <c r="A301" i="4"/>
  <c r="A300" i="4"/>
  <c r="E300" i="4" s="1"/>
  <c r="A299" i="4"/>
  <c r="A298" i="4"/>
  <c r="C298" i="4" s="1"/>
  <c r="A297" i="4"/>
  <c r="A296" i="4"/>
  <c r="E296" i="4" s="1"/>
  <c r="A295" i="4"/>
  <c r="E295" i="4" s="1"/>
  <c r="A294" i="4"/>
  <c r="D294" i="4" s="1"/>
  <c r="A293" i="4"/>
  <c r="A292" i="4"/>
  <c r="E292" i="4" s="1"/>
  <c r="A291" i="4"/>
  <c r="E291" i="4" s="1"/>
  <c r="A290" i="4"/>
  <c r="A289" i="4"/>
  <c r="C289" i="4" s="1"/>
  <c r="A288" i="4"/>
  <c r="E288" i="4" s="1"/>
  <c r="A287" i="4"/>
  <c r="E287" i="4" s="1"/>
  <c r="A286" i="4"/>
  <c r="A285" i="4"/>
  <c r="A284" i="4"/>
  <c r="E284" i="4" s="1"/>
  <c r="A283" i="4"/>
  <c r="E283" i="4" s="1"/>
  <c r="A282" i="4"/>
  <c r="A281" i="4"/>
  <c r="C281" i="4" s="1"/>
  <c r="A280" i="4"/>
  <c r="E280" i="4" s="1"/>
  <c r="A279" i="4"/>
  <c r="E279" i="4" s="1"/>
  <c r="A278" i="4"/>
  <c r="E278" i="4" s="1"/>
  <c r="A277" i="4"/>
  <c r="A276" i="4"/>
  <c r="E276" i="4" s="1"/>
  <c r="A275" i="4"/>
  <c r="E275" i="4" s="1"/>
  <c r="A274" i="4"/>
  <c r="A273" i="4"/>
  <c r="A272" i="4"/>
  <c r="E272" i="4" s="1"/>
  <c r="A271" i="4"/>
  <c r="A270" i="4"/>
  <c r="E270" i="4" s="1"/>
  <c r="A269" i="4"/>
  <c r="C269" i="4" s="1"/>
  <c r="A268" i="4"/>
  <c r="E268" i="4" s="1"/>
  <c r="A267" i="4"/>
  <c r="A266" i="4"/>
  <c r="A265" i="4"/>
  <c r="C265" i="4" s="1"/>
  <c r="A264" i="4"/>
  <c r="E264" i="4" s="1"/>
  <c r="A263" i="4"/>
  <c r="E263" i="4" s="1"/>
  <c r="A262" i="4"/>
  <c r="D262" i="4" s="1"/>
  <c r="A261" i="4"/>
  <c r="C261" i="4" s="1"/>
  <c r="A260" i="4"/>
  <c r="E260" i="4" s="1"/>
  <c r="A259" i="4"/>
  <c r="E259" i="4" s="1"/>
  <c r="A258" i="4"/>
  <c r="C258" i="4" s="1"/>
  <c r="A257" i="4"/>
  <c r="C257" i="4" s="1"/>
  <c r="A256" i="4"/>
  <c r="E256" i="4" s="1"/>
  <c r="A255" i="4"/>
  <c r="E255" i="4" s="1"/>
  <c r="A254" i="4"/>
  <c r="A253" i="4"/>
  <c r="A252" i="4"/>
  <c r="E252" i="4" s="1"/>
  <c r="A251" i="4"/>
  <c r="C251" i="4" s="1"/>
  <c r="A250" i="4"/>
  <c r="A249" i="4"/>
  <c r="C249" i="4" s="1"/>
  <c r="A248" i="4"/>
  <c r="E248" i="4" s="1"/>
  <c r="A247" i="4"/>
  <c r="E247" i="4" s="1"/>
  <c r="A246" i="4"/>
  <c r="E246" i="4" s="1"/>
  <c r="A245" i="4"/>
  <c r="A244" i="4"/>
  <c r="E244" i="4" s="1"/>
  <c r="A243" i="4"/>
  <c r="C243" i="4" s="1"/>
  <c r="A242" i="4"/>
  <c r="E242" i="4" s="1"/>
  <c r="A241" i="4"/>
  <c r="A240" i="4"/>
  <c r="E240" i="4" s="1"/>
  <c r="A239" i="4"/>
  <c r="E239" i="4" s="1"/>
  <c r="A238" i="4"/>
  <c r="A237" i="4"/>
  <c r="C237" i="4" s="1"/>
  <c r="A236" i="4"/>
  <c r="E236" i="4" s="1"/>
  <c r="A235" i="4"/>
  <c r="E235" i="4" s="1"/>
  <c r="A234" i="4"/>
  <c r="A233" i="4"/>
  <c r="C233" i="4" s="1"/>
  <c r="A232" i="4"/>
  <c r="E232" i="4" s="1"/>
  <c r="A231" i="4"/>
  <c r="E231" i="4" s="1"/>
  <c r="A230" i="4"/>
  <c r="D230" i="4" s="1"/>
  <c r="A229" i="4"/>
  <c r="C229" i="4" s="1"/>
  <c r="A228" i="4"/>
  <c r="E228" i="4" s="1"/>
  <c r="A227" i="4"/>
  <c r="C227" i="4" s="1"/>
  <c r="A226" i="4"/>
  <c r="C226" i="4" s="1"/>
  <c r="A225" i="4"/>
  <c r="C225" i="4" s="1"/>
  <c r="A224" i="4"/>
  <c r="E224" i="4" s="1"/>
  <c r="A223" i="4"/>
  <c r="A222" i="4"/>
  <c r="A221" i="4"/>
  <c r="A220" i="4"/>
  <c r="E220" i="4" s="1"/>
  <c r="A219" i="4"/>
  <c r="D219" i="4" s="1"/>
  <c r="A218" i="4"/>
  <c r="A217" i="4"/>
  <c r="C217" i="4" s="1"/>
  <c r="A216" i="4"/>
  <c r="E216" i="4" s="1"/>
  <c r="A215" i="4"/>
  <c r="D215" i="4" s="1"/>
  <c r="A214" i="4"/>
  <c r="A213" i="4"/>
  <c r="A212" i="4"/>
  <c r="E212" i="4" s="1"/>
  <c r="A211" i="4"/>
  <c r="E211" i="4" s="1"/>
  <c r="A210" i="4"/>
  <c r="C210" i="4" s="1"/>
  <c r="A209" i="4"/>
  <c r="A208" i="4"/>
  <c r="E208" i="4" s="1"/>
  <c r="A207" i="4"/>
  <c r="C207" i="4" s="1"/>
  <c r="A206" i="4"/>
  <c r="D206" i="4" s="1"/>
  <c r="A205" i="4"/>
  <c r="C205" i="4" s="1"/>
  <c r="A204" i="4"/>
  <c r="E204" i="4" s="1"/>
  <c r="A203" i="4"/>
  <c r="D203" i="4" s="1"/>
  <c r="A202" i="4"/>
  <c r="E202" i="4" s="1"/>
  <c r="A201" i="4"/>
  <c r="C201" i="4" s="1"/>
  <c r="A200" i="4"/>
  <c r="E200" i="4" s="1"/>
  <c r="A199" i="4"/>
  <c r="A198" i="4"/>
  <c r="D198" i="4" s="1"/>
  <c r="A197" i="4"/>
  <c r="C197" i="4" s="1"/>
  <c r="A196" i="4"/>
  <c r="E196" i="4" s="1"/>
  <c r="A195" i="4"/>
  <c r="E195" i="4" s="1"/>
  <c r="A194" i="4"/>
  <c r="D194" i="4" s="1"/>
  <c r="A193" i="4"/>
  <c r="A192" i="4"/>
  <c r="E192" i="4" s="1"/>
  <c r="A191" i="4"/>
  <c r="E191" i="4" s="1"/>
  <c r="A190" i="4"/>
  <c r="A189" i="4"/>
  <c r="A188" i="4"/>
  <c r="E188" i="4" s="1"/>
  <c r="A187" i="4"/>
  <c r="C187" i="4" s="1"/>
  <c r="A186" i="4"/>
  <c r="A185" i="4"/>
  <c r="C185" i="4" s="1"/>
  <c r="A184" i="4"/>
  <c r="E184" i="4" s="1"/>
  <c r="A183" i="4"/>
  <c r="A182" i="4"/>
  <c r="C182" i="4" s="1"/>
  <c r="A181" i="4"/>
  <c r="A180" i="4"/>
  <c r="E180" i="4" s="1"/>
  <c r="A179" i="4"/>
  <c r="E179" i="4" s="1"/>
  <c r="A178" i="4"/>
  <c r="C178" i="4" s="1"/>
  <c r="A177" i="4"/>
  <c r="A176" i="4"/>
  <c r="E176" i="4" s="1"/>
  <c r="A175" i="4"/>
  <c r="D175" i="4" s="1"/>
  <c r="A174" i="4"/>
  <c r="E174" i="4" s="1"/>
  <c r="A173" i="4"/>
  <c r="C173" i="4" s="1"/>
  <c r="A172" i="4"/>
  <c r="E172" i="4" s="1"/>
  <c r="A171" i="4"/>
  <c r="A170" i="4"/>
  <c r="E170" i="4" s="1"/>
  <c r="A169" i="4"/>
  <c r="C169" i="4" s="1"/>
  <c r="A168" i="4"/>
  <c r="E168" i="4" s="1"/>
  <c r="A167" i="4"/>
  <c r="E167" i="4" s="1"/>
  <c r="A166" i="4"/>
  <c r="E166" i="4" s="1"/>
  <c r="A165" i="4"/>
  <c r="D165" i="4" s="1"/>
  <c r="A164" i="4"/>
  <c r="A163" i="4"/>
  <c r="E163" i="4" s="1"/>
  <c r="A162" i="4"/>
  <c r="E162" i="4" s="1"/>
  <c r="A161" i="4"/>
  <c r="A160" i="4"/>
  <c r="A159" i="4"/>
  <c r="C159" i="4" s="1"/>
  <c r="A158" i="4"/>
  <c r="A157" i="4"/>
  <c r="A156" i="4"/>
  <c r="A155" i="4"/>
  <c r="D155" i="4" s="1"/>
  <c r="A154" i="4"/>
  <c r="E154" i="4" s="1"/>
  <c r="A153" i="4"/>
  <c r="C153" i="4" s="1"/>
  <c r="A152" i="4"/>
  <c r="A151" i="4"/>
  <c r="C151" i="4" s="1"/>
  <c r="A150" i="4"/>
  <c r="E150" i="4" s="1"/>
  <c r="A149" i="4"/>
  <c r="D149" i="4" s="1"/>
  <c r="A148" i="4"/>
  <c r="A147" i="4"/>
  <c r="C147" i="4" s="1"/>
  <c r="A146" i="4"/>
  <c r="A145" i="4"/>
  <c r="A144" i="4"/>
  <c r="A143" i="4"/>
  <c r="E143" i="4" s="1"/>
  <c r="A142" i="4"/>
  <c r="D142" i="4" s="1"/>
  <c r="A141" i="4"/>
  <c r="C141" i="4" s="1"/>
  <c r="A140" i="4"/>
  <c r="A139" i="4"/>
  <c r="C139" i="4" s="1"/>
  <c r="A138" i="4"/>
  <c r="D138" i="4" s="1"/>
  <c r="A137" i="4"/>
  <c r="D137" i="4" s="1"/>
  <c r="A136" i="4"/>
  <c r="A135" i="4"/>
  <c r="A134" i="4"/>
  <c r="E134" i="4" s="1"/>
  <c r="A133" i="4"/>
  <c r="C133" i="4" s="1"/>
  <c r="A132" i="4"/>
  <c r="A131" i="4"/>
  <c r="D131" i="4" s="1"/>
  <c r="A130" i="4"/>
  <c r="E130" i="4" s="1"/>
  <c r="A129" i="4"/>
  <c r="A128" i="4"/>
  <c r="A127" i="4"/>
  <c r="A126" i="4"/>
  <c r="C126" i="4" s="1"/>
  <c r="A125" i="4"/>
  <c r="A124" i="4"/>
  <c r="A123" i="4"/>
  <c r="C123" i="4" s="1"/>
  <c r="A122" i="4"/>
  <c r="E122" i="4" s="1"/>
  <c r="A121" i="4"/>
  <c r="D121" i="4" s="1"/>
  <c r="A120" i="4"/>
  <c r="A119" i="4"/>
  <c r="E119" i="4" s="1"/>
  <c r="A118" i="4"/>
  <c r="E118" i="4" s="1"/>
  <c r="A117" i="4"/>
  <c r="D117" i="4" s="1"/>
  <c r="A116" i="4"/>
  <c r="A115" i="4"/>
  <c r="E115" i="4" s="1"/>
  <c r="A114" i="4"/>
  <c r="A113" i="4"/>
  <c r="A112" i="4"/>
  <c r="A111" i="4"/>
  <c r="E111" i="4" s="1"/>
  <c r="A110" i="4"/>
  <c r="A109" i="4"/>
  <c r="C109" i="4" s="1"/>
  <c r="A108" i="4"/>
  <c r="A107" i="4"/>
  <c r="C107" i="4" s="1"/>
  <c r="A106" i="4"/>
  <c r="D106" i="4" s="1"/>
  <c r="A105" i="4"/>
  <c r="D105" i="4" s="1"/>
  <c r="A104" i="4"/>
  <c r="A103" i="4"/>
  <c r="C103" i="4" s="1"/>
  <c r="A102" i="4"/>
  <c r="E102" i="4" s="1"/>
  <c r="A101" i="4"/>
  <c r="A100" i="4"/>
  <c r="A99" i="4"/>
  <c r="C99" i="4" s="1"/>
  <c r="A98" i="4"/>
  <c r="A97" i="4"/>
  <c r="A96" i="4"/>
  <c r="A95" i="4"/>
  <c r="E95" i="4" s="1"/>
  <c r="A94" i="4"/>
  <c r="A93" i="4"/>
  <c r="A92" i="4"/>
  <c r="A91" i="4"/>
  <c r="A90" i="4"/>
  <c r="A89" i="4"/>
  <c r="C89" i="4" s="1"/>
  <c r="A88" i="4"/>
  <c r="A87" i="4"/>
  <c r="C87" i="4" s="1"/>
  <c r="A86" i="4"/>
  <c r="E86" i="4" s="1"/>
  <c r="A85" i="4"/>
  <c r="D85" i="4" s="1"/>
  <c r="A84" i="4"/>
  <c r="A83" i="4"/>
  <c r="E83" i="4" s="1"/>
  <c r="A82" i="4"/>
  <c r="A81" i="4"/>
  <c r="A80" i="4"/>
  <c r="A79" i="4"/>
  <c r="C79" i="4" s="1"/>
  <c r="A78" i="4"/>
  <c r="E78" i="4" s="1"/>
  <c r="A77" i="4"/>
  <c r="D77" i="4" s="1"/>
  <c r="A76" i="4"/>
  <c r="A75" i="4"/>
  <c r="E75" i="4" s="1"/>
  <c r="A74" i="4"/>
  <c r="D74" i="4" s="1"/>
  <c r="A73" i="4"/>
  <c r="D73" i="4" s="1"/>
  <c r="A72" i="4"/>
  <c r="A71" i="4"/>
  <c r="E71" i="4" s="1"/>
  <c r="A70" i="4"/>
  <c r="E70" i="4" s="1"/>
  <c r="A69" i="4"/>
  <c r="C69" i="4" s="1"/>
  <c r="A68" i="4"/>
  <c r="A67" i="4"/>
  <c r="A66" i="4"/>
  <c r="C66" i="4" s="1"/>
  <c r="A65" i="4"/>
  <c r="A64" i="4"/>
  <c r="A63" i="4"/>
  <c r="E63" i="4" s="1"/>
  <c r="A62" i="4"/>
  <c r="C62" i="4" s="1"/>
  <c r="A61" i="4"/>
  <c r="A60" i="4"/>
  <c r="A59" i="4"/>
  <c r="D59" i="4" s="1"/>
  <c r="A58" i="4"/>
  <c r="E58" i="4" s="1"/>
  <c r="A57" i="4"/>
  <c r="C57" i="4" s="1"/>
  <c r="A56" i="4"/>
  <c r="A55" i="4"/>
  <c r="E55" i="4" s="1"/>
  <c r="A54" i="4"/>
  <c r="A53" i="4"/>
  <c r="D53" i="4" s="1"/>
  <c r="A52" i="4"/>
  <c r="A51" i="4"/>
  <c r="A50" i="4"/>
  <c r="E50" i="4" s="1"/>
  <c r="A49" i="4"/>
  <c r="A48" i="4"/>
  <c r="A47" i="4"/>
  <c r="A46" i="4"/>
  <c r="E46" i="4" s="1"/>
  <c r="A45" i="4"/>
  <c r="D45" i="4" s="1"/>
  <c r="A44" i="4"/>
  <c r="E44" i="4" s="1"/>
  <c r="A43" i="4"/>
  <c r="E43" i="4" s="1"/>
  <c r="A42" i="4"/>
  <c r="E42" i="4" s="1"/>
  <c r="A41" i="4"/>
  <c r="D41" i="4" s="1"/>
  <c r="A40" i="4"/>
  <c r="E40" i="4" s="1"/>
  <c r="A39" i="4"/>
  <c r="E39" i="4" s="1"/>
  <c r="A38" i="4"/>
  <c r="E38" i="4" s="1"/>
  <c r="A37" i="4"/>
  <c r="A36" i="4"/>
  <c r="E36" i="4" s="1"/>
  <c r="A35" i="4"/>
  <c r="A34" i="4"/>
  <c r="E34" i="4" s="1"/>
  <c r="A33" i="4"/>
  <c r="A32" i="4"/>
  <c r="A31" i="4"/>
  <c r="A30" i="4"/>
  <c r="D30" i="4" s="1"/>
  <c r="A29" i="4"/>
  <c r="C29" i="4" s="1"/>
  <c r="A28" i="4"/>
  <c r="A27" i="4"/>
  <c r="E27" i="4" s="1"/>
  <c r="A26" i="4"/>
  <c r="A25" i="4"/>
  <c r="A24" i="4"/>
  <c r="A23" i="4"/>
  <c r="C23" i="4" s="1"/>
  <c r="A22" i="4"/>
  <c r="A21" i="4"/>
  <c r="D21" i="4" s="1"/>
  <c r="A20" i="4"/>
  <c r="A19" i="4"/>
  <c r="E19" i="4" s="1"/>
  <c r="A18" i="4"/>
  <c r="E18" i="4" s="1"/>
  <c r="A17" i="4"/>
  <c r="A16" i="4"/>
  <c r="A15" i="4"/>
  <c r="E15" i="4" s="1"/>
  <c r="A14" i="4"/>
  <c r="A13" i="4"/>
  <c r="D13" i="4" s="1"/>
  <c r="A12" i="4"/>
  <c r="E12" i="4" s="1"/>
  <c r="A11" i="4"/>
  <c r="E11" i="4" s="1"/>
  <c r="A10" i="4"/>
  <c r="E10" i="4" s="1"/>
  <c r="A9" i="4"/>
  <c r="D9" i="4" s="1"/>
  <c r="A8" i="4"/>
  <c r="E8" i="4" s="1"/>
  <c r="A7" i="4"/>
  <c r="C7" i="4" s="1"/>
  <c r="A6" i="4"/>
  <c r="A5" i="4"/>
  <c r="A4" i="4"/>
  <c r="E4" i="4" s="1"/>
  <c r="A3" i="4"/>
  <c r="A2" i="4"/>
  <c r="C2" i="4" s="1"/>
  <c r="A55" i="2"/>
  <c r="E55" i="2" s="1"/>
  <c r="A54" i="2"/>
  <c r="E54" i="2" s="1"/>
  <c r="A53" i="2"/>
  <c r="A52" i="2"/>
  <c r="F52" i="2" s="1"/>
  <c r="A51" i="2"/>
  <c r="E51" i="2" s="1"/>
  <c r="A50" i="2"/>
  <c r="C50" i="2" s="1"/>
  <c r="A49" i="2"/>
  <c r="A48" i="2"/>
  <c r="A47" i="2"/>
  <c r="A46" i="2"/>
  <c r="E46" i="2" s="1"/>
  <c r="A45" i="2"/>
  <c r="E45" i="2" s="1"/>
  <c r="A44" i="2"/>
  <c r="F44" i="2" s="1"/>
  <c r="A43" i="2"/>
  <c r="C43" i="2" s="1"/>
  <c r="A42" i="2"/>
  <c r="D42" i="2" s="1"/>
  <c r="A41" i="2"/>
  <c r="E41" i="2" s="1"/>
  <c r="A40" i="2"/>
  <c r="C40" i="2" s="1"/>
  <c r="A39" i="2"/>
  <c r="C39" i="2" s="1"/>
  <c r="A38" i="2"/>
  <c r="E38" i="2" s="1"/>
  <c r="A37" i="2"/>
  <c r="A36" i="2"/>
  <c r="D36" i="2" s="1"/>
  <c r="A35" i="2"/>
  <c r="D35" i="2" s="1"/>
  <c r="A34" i="2"/>
  <c r="E34" i="2" s="1"/>
  <c r="A33" i="2"/>
  <c r="A32" i="2"/>
  <c r="C32" i="2" s="1"/>
  <c r="A31" i="2"/>
  <c r="D31" i="2" s="1"/>
  <c r="A30" i="2"/>
  <c r="D30" i="2" s="1"/>
  <c r="A29" i="2"/>
  <c r="F29" i="2" s="1"/>
  <c r="A28" i="2"/>
  <c r="C28" i="2" s="1"/>
  <c r="A27" i="2"/>
  <c r="D27" i="2" s="1"/>
  <c r="A26" i="2"/>
  <c r="E26" i="2" s="1"/>
  <c r="A25" i="2"/>
  <c r="F25" i="2" s="1"/>
  <c r="A24" i="2"/>
  <c r="C24" i="2" s="1"/>
  <c r="A23" i="2"/>
  <c r="D23" i="2" s="1"/>
  <c r="A22" i="2"/>
  <c r="A21" i="2"/>
  <c r="A20" i="2"/>
  <c r="C20" i="2" s="1"/>
  <c r="A19" i="2"/>
  <c r="D19" i="2" s="1"/>
  <c r="A18" i="2"/>
  <c r="A17" i="2"/>
  <c r="F17" i="2" s="1"/>
  <c r="A16" i="2"/>
  <c r="C16" i="2" s="1"/>
  <c r="A15" i="2"/>
  <c r="C15" i="2" s="1"/>
  <c r="A14" i="2"/>
  <c r="A13" i="2"/>
  <c r="F13" i="2" s="1"/>
  <c r="A12" i="2"/>
  <c r="C12" i="2" s="1"/>
  <c r="A11" i="2"/>
  <c r="D11" i="2" s="1"/>
  <c r="A10" i="2"/>
  <c r="C10" i="2" s="1"/>
  <c r="A9" i="2"/>
  <c r="F9" i="2" s="1"/>
  <c r="A8" i="2"/>
  <c r="C8" i="2" s="1"/>
  <c r="A7" i="2"/>
  <c r="D7" i="2" s="1"/>
  <c r="A6" i="2"/>
  <c r="F6" i="2" s="1"/>
  <c r="A5" i="2"/>
  <c r="A4" i="2"/>
  <c r="D4" i="2" s="1"/>
  <c r="A3" i="2"/>
  <c r="D3" i="2" s="1"/>
  <c r="A2" i="2"/>
  <c r="M1095" i="1"/>
  <c r="K1095" i="1"/>
  <c r="O1094" i="1"/>
  <c r="M1094" i="1"/>
  <c r="N1094" i="1" s="1"/>
  <c r="K1094" i="1"/>
  <c r="O1093" i="1"/>
  <c r="N1093" i="1"/>
  <c r="M1093" i="1"/>
  <c r="K1093" i="1"/>
  <c r="O1092" i="1"/>
  <c r="M1092" i="1"/>
  <c r="N1092" i="1" s="1"/>
  <c r="K1092" i="1"/>
  <c r="O1091" i="1"/>
  <c r="N1091" i="1"/>
  <c r="M1091" i="1"/>
  <c r="K1091" i="1"/>
  <c r="O1090" i="1"/>
  <c r="M1090" i="1"/>
  <c r="N1090" i="1" s="1"/>
  <c r="K1090" i="1"/>
  <c r="O1089" i="1"/>
  <c r="N1089" i="1"/>
  <c r="M1089" i="1"/>
  <c r="K1089" i="1"/>
  <c r="O1088" i="1"/>
  <c r="M1088" i="1"/>
  <c r="N1088" i="1" s="1"/>
  <c r="K1088" i="1"/>
  <c r="O1087" i="1"/>
  <c r="N1087" i="1"/>
  <c r="M1087" i="1"/>
  <c r="K1087" i="1"/>
  <c r="O1086" i="1"/>
  <c r="M1086" i="1"/>
  <c r="N1086" i="1" s="1"/>
  <c r="K1086" i="1"/>
  <c r="O1085" i="1"/>
  <c r="N1085" i="1"/>
  <c r="M1085" i="1"/>
  <c r="K1085" i="1"/>
  <c r="O1084" i="1"/>
  <c r="M1084" i="1"/>
  <c r="N1084" i="1" s="1"/>
  <c r="K1084" i="1"/>
  <c r="O1083" i="1"/>
  <c r="N1083" i="1"/>
  <c r="M1083" i="1"/>
  <c r="K1083" i="1"/>
  <c r="O1082" i="1"/>
  <c r="M1082" i="1"/>
  <c r="N1082" i="1" s="1"/>
  <c r="K1082" i="1"/>
  <c r="O1081" i="1"/>
  <c r="N1081" i="1"/>
  <c r="M1081" i="1"/>
  <c r="K1081" i="1"/>
  <c r="O1080" i="1"/>
  <c r="M1080" i="1"/>
  <c r="N1080" i="1" s="1"/>
  <c r="K1080" i="1"/>
  <c r="O1079" i="1"/>
  <c r="N1079" i="1"/>
  <c r="M1079" i="1"/>
  <c r="K1079" i="1"/>
  <c r="O1078" i="1"/>
  <c r="M1078" i="1"/>
  <c r="N1078" i="1" s="1"/>
  <c r="K1078" i="1"/>
  <c r="O1077" i="1"/>
  <c r="N1077" i="1"/>
  <c r="M1077" i="1"/>
  <c r="K1077" i="1"/>
  <c r="O1076" i="1"/>
  <c r="M1076" i="1"/>
  <c r="N1076" i="1" s="1"/>
  <c r="K1076" i="1"/>
  <c r="O1075" i="1"/>
  <c r="N1075" i="1"/>
  <c r="M1075" i="1"/>
  <c r="K1075" i="1"/>
  <c r="O1074" i="1"/>
  <c r="M1074" i="1"/>
  <c r="N1074" i="1" s="1"/>
  <c r="K1074" i="1"/>
  <c r="O1073" i="1"/>
  <c r="N1073" i="1"/>
  <c r="M1073" i="1"/>
  <c r="K1073" i="1"/>
  <c r="O1072" i="1"/>
  <c r="M1072" i="1"/>
  <c r="N1072" i="1" s="1"/>
  <c r="K1072" i="1"/>
  <c r="O1071" i="1"/>
  <c r="N1071" i="1"/>
  <c r="M1071" i="1"/>
  <c r="K1071" i="1"/>
  <c r="O1070" i="1"/>
  <c r="M1070" i="1"/>
  <c r="N1070" i="1" s="1"/>
  <c r="K1070" i="1"/>
  <c r="O1069" i="1"/>
  <c r="N1069" i="1"/>
  <c r="M1069" i="1"/>
  <c r="K1069" i="1"/>
  <c r="O1068" i="1"/>
  <c r="M1068" i="1"/>
  <c r="N1068" i="1" s="1"/>
  <c r="K1068" i="1"/>
  <c r="O1067" i="1"/>
  <c r="N1067" i="1"/>
  <c r="M1067" i="1"/>
  <c r="K1067" i="1"/>
  <c r="O1066" i="1"/>
  <c r="M1066" i="1"/>
  <c r="N1066" i="1" s="1"/>
  <c r="K1066" i="1"/>
  <c r="O1065" i="1"/>
  <c r="N1065" i="1"/>
  <c r="M1065" i="1"/>
  <c r="K1065" i="1"/>
  <c r="O1064" i="1"/>
  <c r="M1064" i="1"/>
  <c r="N1064" i="1" s="1"/>
  <c r="K1064" i="1"/>
  <c r="O1063" i="1"/>
  <c r="N1063" i="1"/>
  <c r="M1063" i="1"/>
  <c r="K1063" i="1"/>
  <c r="O1062" i="1"/>
  <c r="M1062" i="1"/>
  <c r="N1062" i="1" s="1"/>
  <c r="K1062" i="1"/>
  <c r="O1061" i="1"/>
  <c r="N1061" i="1"/>
  <c r="M1061" i="1"/>
  <c r="K1061" i="1"/>
  <c r="O1060" i="1"/>
  <c r="M1060" i="1"/>
  <c r="N1060" i="1" s="1"/>
  <c r="K1060" i="1"/>
  <c r="O1059" i="1"/>
  <c r="N1059" i="1"/>
  <c r="M1059" i="1"/>
  <c r="K1059" i="1"/>
  <c r="O1058" i="1"/>
  <c r="M1058" i="1"/>
  <c r="N1058" i="1" s="1"/>
  <c r="K1058" i="1"/>
  <c r="O1057" i="1"/>
  <c r="N1057" i="1"/>
  <c r="M1057" i="1"/>
  <c r="K1057" i="1"/>
  <c r="O1056" i="1"/>
  <c r="M1056" i="1"/>
  <c r="N1056" i="1" s="1"/>
  <c r="K1056" i="1"/>
  <c r="O1055" i="1"/>
  <c r="N1055" i="1"/>
  <c r="M1055" i="1"/>
  <c r="K1055" i="1"/>
  <c r="O1054" i="1"/>
  <c r="M1054" i="1"/>
  <c r="N1054" i="1" s="1"/>
  <c r="K1054" i="1"/>
  <c r="O1053" i="1"/>
  <c r="N1053" i="1"/>
  <c r="M1053" i="1"/>
  <c r="K1053" i="1"/>
  <c r="O1052" i="1"/>
  <c r="M1052" i="1"/>
  <c r="N1052" i="1" s="1"/>
  <c r="K1052" i="1"/>
  <c r="O1051" i="1"/>
  <c r="N1051" i="1"/>
  <c r="M1051" i="1"/>
  <c r="K1051" i="1"/>
  <c r="O1050" i="1"/>
  <c r="M1050" i="1"/>
  <c r="N1050" i="1" s="1"/>
  <c r="K1050" i="1"/>
  <c r="O1049" i="1"/>
  <c r="N1049" i="1"/>
  <c r="M1049" i="1"/>
  <c r="K1049" i="1"/>
  <c r="O1048" i="1"/>
  <c r="M1048" i="1"/>
  <c r="N1048" i="1" s="1"/>
  <c r="K1048" i="1"/>
  <c r="O1047" i="1"/>
  <c r="N1047" i="1"/>
  <c r="M1047" i="1"/>
  <c r="K1047" i="1"/>
  <c r="O1046" i="1"/>
  <c r="M1046" i="1"/>
  <c r="N1046" i="1" s="1"/>
  <c r="K1046" i="1"/>
  <c r="O1045" i="1"/>
  <c r="N1045" i="1"/>
  <c r="M1045" i="1"/>
  <c r="K1045" i="1"/>
  <c r="O1044" i="1"/>
  <c r="M1044" i="1"/>
  <c r="N1044" i="1" s="1"/>
  <c r="K1044" i="1"/>
  <c r="O1043" i="1"/>
  <c r="N1043" i="1"/>
  <c r="M1043" i="1"/>
  <c r="K1043" i="1"/>
  <c r="O1042" i="1"/>
  <c r="M1042" i="1"/>
  <c r="N1042" i="1" s="1"/>
  <c r="K1042" i="1"/>
  <c r="O1041" i="1"/>
  <c r="N1041" i="1"/>
  <c r="M1041" i="1"/>
  <c r="K1041" i="1"/>
  <c r="O1040" i="1"/>
  <c r="M1040" i="1"/>
  <c r="N1040" i="1" s="1"/>
  <c r="K1040" i="1"/>
  <c r="O1039" i="1"/>
  <c r="N1039" i="1"/>
  <c r="M1039" i="1"/>
  <c r="K1039" i="1"/>
  <c r="O1038" i="1"/>
  <c r="M1038" i="1"/>
  <c r="N1038" i="1" s="1"/>
  <c r="K1038" i="1"/>
  <c r="O1037" i="1"/>
  <c r="N1037" i="1"/>
  <c r="M1037" i="1"/>
  <c r="K1037" i="1"/>
  <c r="O1036" i="1"/>
  <c r="M1036" i="1"/>
  <c r="N1036" i="1" s="1"/>
  <c r="K1036" i="1"/>
  <c r="O1035" i="1"/>
  <c r="N1035" i="1"/>
  <c r="M1035" i="1"/>
  <c r="K1035" i="1"/>
  <c r="O1034" i="1"/>
  <c r="M1034" i="1"/>
  <c r="N1034" i="1" s="1"/>
  <c r="K1034" i="1"/>
  <c r="O1033" i="1"/>
  <c r="N1033" i="1"/>
  <c r="M1033" i="1"/>
  <c r="K1033" i="1"/>
  <c r="O1032" i="1"/>
  <c r="M1032" i="1"/>
  <c r="N1032" i="1" s="1"/>
  <c r="K1032" i="1"/>
  <c r="O1031" i="1"/>
  <c r="N1031" i="1"/>
  <c r="M1031" i="1"/>
  <c r="K1031" i="1"/>
  <c r="O1030" i="1"/>
  <c r="M1030" i="1"/>
  <c r="N1030" i="1" s="1"/>
  <c r="K1030" i="1"/>
  <c r="O1029" i="1"/>
  <c r="N1029" i="1"/>
  <c r="M1029" i="1"/>
  <c r="K1029" i="1"/>
  <c r="O1028" i="1"/>
  <c r="M1028" i="1"/>
  <c r="N1028" i="1" s="1"/>
  <c r="K1028" i="1"/>
  <c r="O1027" i="1"/>
  <c r="N1027" i="1"/>
  <c r="M1027" i="1"/>
  <c r="K1027" i="1"/>
  <c r="O1026" i="1"/>
  <c r="M1026" i="1"/>
  <c r="N1026" i="1" s="1"/>
  <c r="K1026" i="1"/>
  <c r="O1025" i="1"/>
  <c r="N1025" i="1"/>
  <c r="M1025" i="1"/>
  <c r="K1025" i="1"/>
  <c r="O1024" i="1"/>
  <c r="M1024" i="1"/>
  <c r="N1024" i="1" s="1"/>
  <c r="K1024" i="1"/>
  <c r="O1023" i="1"/>
  <c r="N1023" i="1"/>
  <c r="M1023" i="1"/>
  <c r="K1023" i="1"/>
  <c r="O1022" i="1"/>
  <c r="M1022" i="1"/>
  <c r="N1022" i="1" s="1"/>
  <c r="K1022" i="1"/>
  <c r="O1021" i="1"/>
  <c r="N1021" i="1"/>
  <c r="M1021" i="1"/>
  <c r="K1021" i="1"/>
  <c r="O1020" i="1"/>
  <c r="M1020" i="1"/>
  <c r="N1020" i="1" s="1"/>
  <c r="K1020" i="1"/>
  <c r="O1019" i="1"/>
  <c r="N1019" i="1"/>
  <c r="M1019" i="1"/>
  <c r="K1019" i="1"/>
  <c r="O1018" i="1"/>
  <c r="M1018" i="1"/>
  <c r="N1018" i="1" s="1"/>
  <c r="K1018" i="1"/>
  <c r="O1017" i="1"/>
  <c r="N1017" i="1"/>
  <c r="M1017" i="1"/>
  <c r="K1017" i="1"/>
  <c r="O1016" i="1"/>
  <c r="M1016" i="1"/>
  <c r="N1016" i="1" s="1"/>
  <c r="K1016" i="1"/>
  <c r="O1015" i="1"/>
  <c r="N1015" i="1"/>
  <c r="M1015" i="1"/>
  <c r="K1015" i="1"/>
  <c r="O1014" i="1"/>
  <c r="M1014" i="1"/>
  <c r="N1014" i="1" s="1"/>
  <c r="K1014" i="1"/>
  <c r="O1013" i="1"/>
  <c r="N1013" i="1"/>
  <c r="M1013" i="1"/>
  <c r="K1013" i="1"/>
  <c r="O1012" i="1"/>
  <c r="M1012" i="1"/>
  <c r="N1012" i="1" s="1"/>
  <c r="K1012" i="1"/>
  <c r="O1011" i="1"/>
  <c r="N1011" i="1"/>
  <c r="M1011" i="1"/>
  <c r="K1011" i="1"/>
  <c r="O1010" i="1"/>
  <c r="M1010" i="1"/>
  <c r="N1010" i="1" s="1"/>
  <c r="K1010" i="1"/>
  <c r="O1009" i="1"/>
  <c r="N1009" i="1"/>
  <c r="M1009" i="1"/>
  <c r="K1009" i="1"/>
  <c r="O1008" i="1"/>
  <c r="M1008" i="1"/>
  <c r="N1008" i="1" s="1"/>
  <c r="K1008" i="1"/>
  <c r="O1007" i="1"/>
  <c r="N1007" i="1"/>
  <c r="M1007" i="1"/>
  <c r="K1007" i="1"/>
  <c r="O1006" i="1"/>
  <c r="M1006" i="1"/>
  <c r="N1006" i="1" s="1"/>
  <c r="K1006" i="1"/>
  <c r="O1005" i="1"/>
  <c r="N1005" i="1"/>
  <c r="M1005" i="1"/>
  <c r="K1005" i="1"/>
  <c r="O1004" i="1"/>
  <c r="M1004" i="1"/>
  <c r="N1004" i="1" s="1"/>
  <c r="K1004" i="1"/>
  <c r="O1003" i="1"/>
  <c r="M1003" i="1"/>
  <c r="N1003" i="1" s="1"/>
  <c r="K1003" i="1"/>
  <c r="O1002" i="1"/>
  <c r="M1002" i="1"/>
  <c r="N1002" i="1" s="1"/>
  <c r="K1002" i="1"/>
  <c r="O1001" i="1"/>
  <c r="M1001" i="1"/>
  <c r="N1001" i="1" s="1"/>
  <c r="K1001" i="1"/>
  <c r="O1000" i="1"/>
  <c r="M1000" i="1"/>
  <c r="N1000" i="1" s="1"/>
  <c r="K1000" i="1"/>
  <c r="O999" i="1"/>
  <c r="N999" i="1"/>
  <c r="M999" i="1"/>
  <c r="K999" i="1"/>
  <c r="O998" i="1"/>
  <c r="M998" i="1"/>
  <c r="N998" i="1" s="1"/>
  <c r="K998" i="1"/>
  <c r="O997" i="1"/>
  <c r="N997" i="1"/>
  <c r="M997" i="1"/>
  <c r="K997" i="1"/>
  <c r="O996" i="1"/>
  <c r="M996" i="1"/>
  <c r="N996" i="1" s="1"/>
  <c r="K996" i="1"/>
  <c r="O995" i="1"/>
  <c r="M995" i="1"/>
  <c r="N995" i="1" s="1"/>
  <c r="K995" i="1"/>
  <c r="O994" i="1"/>
  <c r="M994" i="1"/>
  <c r="N994" i="1" s="1"/>
  <c r="K994" i="1"/>
  <c r="O993" i="1"/>
  <c r="M993" i="1"/>
  <c r="N993" i="1" s="1"/>
  <c r="K993" i="1"/>
  <c r="O992" i="1"/>
  <c r="M992" i="1"/>
  <c r="N992" i="1" s="1"/>
  <c r="K992" i="1"/>
  <c r="O991" i="1"/>
  <c r="M991" i="1"/>
  <c r="N991" i="1" s="1"/>
  <c r="K991" i="1"/>
  <c r="O990" i="1"/>
  <c r="M990" i="1"/>
  <c r="N990" i="1" s="1"/>
  <c r="K990" i="1"/>
  <c r="O989" i="1"/>
  <c r="N989" i="1"/>
  <c r="M989" i="1"/>
  <c r="K989" i="1"/>
  <c r="O988" i="1"/>
  <c r="M988" i="1"/>
  <c r="N988" i="1" s="1"/>
  <c r="K988" i="1"/>
  <c r="O987" i="1"/>
  <c r="M987" i="1"/>
  <c r="N987" i="1" s="1"/>
  <c r="K987" i="1"/>
  <c r="O986" i="1"/>
  <c r="M986" i="1"/>
  <c r="N986" i="1" s="1"/>
  <c r="K986" i="1"/>
  <c r="O985" i="1"/>
  <c r="M985" i="1"/>
  <c r="N985" i="1" s="1"/>
  <c r="K985" i="1"/>
  <c r="O984" i="1"/>
  <c r="M984" i="1"/>
  <c r="N984" i="1" s="1"/>
  <c r="K984" i="1"/>
  <c r="O983" i="1"/>
  <c r="N983" i="1"/>
  <c r="M983" i="1"/>
  <c r="K983" i="1"/>
  <c r="O982" i="1"/>
  <c r="M982" i="1"/>
  <c r="N982" i="1" s="1"/>
  <c r="K982" i="1"/>
  <c r="O981" i="1"/>
  <c r="N981" i="1"/>
  <c r="M981" i="1"/>
  <c r="K981" i="1"/>
  <c r="O980" i="1"/>
  <c r="M980" i="1"/>
  <c r="N980" i="1" s="1"/>
  <c r="K980" i="1"/>
  <c r="O979" i="1"/>
  <c r="M979" i="1"/>
  <c r="N979" i="1" s="1"/>
  <c r="K979" i="1"/>
  <c r="O978" i="1"/>
  <c r="M978" i="1"/>
  <c r="N978" i="1" s="1"/>
  <c r="K978" i="1"/>
  <c r="O977" i="1"/>
  <c r="M977" i="1"/>
  <c r="N977" i="1" s="1"/>
  <c r="K977" i="1"/>
  <c r="O976" i="1"/>
  <c r="M976" i="1"/>
  <c r="N976" i="1" s="1"/>
  <c r="K976" i="1"/>
  <c r="O975" i="1"/>
  <c r="M975" i="1"/>
  <c r="N975" i="1" s="1"/>
  <c r="K975" i="1"/>
  <c r="O974" i="1"/>
  <c r="M974" i="1"/>
  <c r="N974" i="1" s="1"/>
  <c r="K974" i="1"/>
  <c r="O973" i="1"/>
  <c r="N973" i="1"/>
  <c r="M973" i="1"/>
  <c r="K973" i="1"/>
  <c r="O972" i="1"/>
  <c r="M972" i="1"/>
  <c r="N972" i="1" s="1"/>
  <c r="K972" i="1"/>
  <c r="O971" i="1"/>
  <c r="M971" i="1"/>
  <c r="N971" i="1" s="1"/>
  <c r="K971" i="1"/>
  <c r="O970" i="1"/>
  <c r="M970" i="1"/>
  <c r="N970" i="1" s="1"/>
  <c r="K970" i="1"/>
  <c r="O969" i="1"/>
  <c r="M969" i="1"/>
  <c r="N969" i="1" s="1"/>
  <c r="K969" i="1"/>
  <c r="O968" i="1"/>
  <c r="M968" i="1"/>
  <c r="N968" i="1" s="1"/>
  <c r="K968" i="1"/>
  <c r="O967" i="1"/>
  <c r="N967" i="1"/>
  <c r="M967" i="1"/>
  <c r="K967" i="1"/>
  <c r="O966" i="1"/>
  <c r="M966" i="1"/>
  <c r="N966" i="1" s="1"/>
  <c r="K966" i="1"/>
  <c r="O965" i="1"/>
  <c r="N965" i="1"/>
  <c r="M965" i="1"/>
  <c r="K965" i="1"/>
  <c r="O964" i="1"/>
  <c r="M964" i="1"/>
  <c r="N964" i="1" s="1"/>
  <c r="K964" i="1"/>
  <c r="O963" i="1"/>
  <c r="M963" i="1"/>
  <c r="N963" i="1" s="1"/>
  <c r="K963" i="1"/>
  <c r="O962" i="1"/>
  <c r="M962" i="1"/>
  <c r="N962" i="1" s="1"/>
  <c r="K962" i="1"/>
  <c r="O961" i="1"/>
  <c r="M961" i="1"/>
  <c r="N961" i="1" s="1"/>
  <c r="K961" i="1"/>
  <c r="O960" i="1"/>
  <c r="M960" i="1"/>
  <c r="N960" i="1" s="1"/>
  <c r="K960" i="1"/>
  <c r="O959" i="1"/>
  <c r="M959" i="1"/>
  <c r="N959" i="1" s="1"/>
  <c r="K959" i="1"/>
  <c r="O958" i="1"/>
  <c r="M958" i="1"/>
  <c r="N958" i="1" s="1"/>
  <c r="K958" i="1"/>
  <c r="O957" i="1"/>
  <c r="N957" i="1"/>
  <c r="M957" i="1"/>
  <c r="K957" i="1"/>
  <c r="O956" i="1"/>
  <c r="M956" i="1"/>
  <c r="N956" i="1" s="1"/>
  <c r="K956" i="1"/>
  <c r="O955" i="1"/>
  <c r="M955" i="1"/>
  <c r="N955" i="1" s="1"/>
  <c r="K955" i="1"/>
  <c r="O954" i="1"/>
  <c r="M954" i="1"/>
  <c r="N954" i="1" s="1"/>
  <c r="K954" i="1"/>
  <c r="O953" i="1"/>
  <c r="M953" i="1"/>
  <c r="N953" i="1" s="1"/>
  <c r="K953" i="1"/>
  <c r="O952" i="1"/>
  <c r="M952" i="1"/>
  <c r="N952" i="1" s="1"/>
  <c r="K952" i="1"/>
  <c r="O951" i="1"/>
  <c r="N951" i="1"/>
  <c r="M951" i="1"/>
  <c r="K951" i="1"/>
  <c r="O950" i="1"/>
  <c r="M950" i="1"/>
  <c r="N950" i="1" s="1"/>
  <c r="K950" i="1"/>
  <c r="O949" i="1"/>
  <c r="N949" i="1"/>
  <c r="M949" i="1"/>
  <c r="K949" i="1"/>
  <c r="O948" i="1"/>
  <c r="M948" i="1"/>
  <c r="N948" i="1" s="1"/>
  <c r="K948" i="1"/>
  <c r="O947" i="1"/>
  <c r="M947" i="1"/>
  <c r="N947" i="1" s="1"/>
  <c r="K947" i="1"/>
  <c r="O946" i="1"/>
  <c r="M946" i="1"/>
  <c r="N946" i="1" s="1"/>
  <c r="K946" i="1"/>
  <c r="O945" i="1"/>
  <c r="M945" i="1"/>
  <c r="N945" i="1" s="1"/>
  <c r="K945" i="1"/>
  <c r="O944" i="1"/>
  <c r="M944" i="1"/>
  <c r="N944" i="1" s="1"/>
  <c r="K944" i="1"/>
  <c r="O943" i="1"/>
  <c r="M943" i="1"/>
  <c r="N943" i="1" s="1"/>
  <c r="K943" i="1"/>
  <c r="O942" i="1"/>
  <c r="M942" i="1"/>
  <c r="N942" i="1" s="1"/>
  <c r="K942" i="1"/>
  <c r="O941" i="1"/>
  <c r="N941" i="1"/>
  <c r="M941" i="1"/>
  <c r="K941" i="1"/>
  <c r="O940" i="1"/>
  <c r="M940" i="1"/>
  <c r="N940" i="1" s="1"/>
  <c r="K940" i="1"/>
  <c r="O939" i="1"/>
  <c r="M939" i="1"/>
  <c r="N939" i="1" s="1"/>
  <c r="K939" i="1"/>
  <c r="O938" i="1"/>
  <c r="M938" i="1"/>
  <c r="N938" i="1" s="1"/>
  <c r="K938" i="1"/>
  <c r="O937" i="1"/>
  <c r="M937" i="1"/>
  <c r="N937" i="1" s="1"/>
  <c r="K937" i="1"/>
  <c r="O936" i="1"/>
  <c r="M936" i="1"/>
  <c r="N936" i="1" s="1"/>
  <c r="K936" i="1"/>
  <c r="O935" i="1"/>
  <c r="N935" i="1"/>
  <c r="M935" i="1"/>
  <c r="K935" i="1"/>
  <c r="O934" i="1"/>
  <c r="M934" i="1"/>
  <c r="N934" i="1" s="1"/>
  <c r="K934" i="1"/>
  <c r="O933" i="1"/>
  <c r="N933" i="1"/>
  <c r="M933" i="1"/>
  <c r="K933" i="1"/>
  <c r="O932" i="1"/>
  <c r="N932" i="1"/>
  <c r="M932" i="1"/>
  <c r="K932" i="1"/>
  <c r="O931" i="1"/>
  <c r="N931" i="1"/>
  <c r="M931" i="1"/>
  <c r="K931" i="1"/>
  <c r="O930" i="1"/>
  <c r="N930" i="1"/>
  <c r="M930" i="1"/>
  <c r="K930" i="1"/>
  <c r="O929" i="1"/>
  <c r="N929" i="1"/>
  <c r="M929" i="1"/>
  <c r="K929" i="1"/>
  <c r="O928" i="1"/>
  <c r="N928" i="1"/>
  <c r="M928" i="1"/>
  <c r="K928" i="1"/>
  <c r="O927" i="1"/>
  <c r="N927" i="1"/>
  <c r="M927" i="1"/>
  <c r="K927" i="1"/>
  <c r="O926" i="1"/>
  <c r="N926" i="1"/>
  <c r="M926" i="1"/>
  <c r="K926" i="1"/>
  <c r="O925" i="1"/>
  <c r="N925" i="1"/>
  <c r="M925" i="1"/>
  <c r="K925" i="1"/>
  <c r="O924" i="1"/>
  <c r="N924" i="1"/>
  <c r="M924" i="1"/>
  <c r="K924" i="1"/>
  <c r="O923" i="1"/>
  <c r="N923" i="1"/>
  <c r="M923" i="1"/>
  <c r="K923" i="1"/>
  <c r="O922" i="1"/>
  <c r="N922" i="1"/>
  <c r="M922" i="1"/>
  <c r="K922" i="1"/>
  <c r="O921" i="1"/>
  <c r="N921" i="1"/>
  <c r="M921" i="1"/>
  <c r="K921" i="1"/>
  <c r="O920" i="1"/>
  <c r="N920" i="1"/>
  <c r="M920" i="1"/>
  <c r="K920" i="1"/>
  <c r="O919" i="1"/>
  <c r="N919" i="1"/>
  <c r="M919" i="1"/>
  <c r="K919" i="1"/>
  <c r="O918" i="1"/>
  <c r="N918" i="1"/>
  <c r="M918" i="1"/>
  <c r="K918" i="1"/>
  <c r="O917" i="1"/>
  <c r="N917" i="1"/>
  <c r="M917" i="1"/>
  <c r="K917" i="1"/>
  <c r="O916" i="1"/>
  <c r="N916" i="1"/>
  <c r="M916" i="1"/>
  <c r="K916" i="1"/>
  <c r="O915" i="1"/>
  <c r="N915" i="1"/>
  <c r="M915" i="1"/>
  <c r="K915" i="1"/>
  <c r="O914" i="1"/>
  <c r="N914" i="1"/>
  <c r="M914" i="1"/>
  <c r="K914" i="1"/>
  <c r="O913" i="1"/>
  <c r="N913" i="1"/>
  <c r="M913" i="1"/>
  <c r="K913" i="1"/>
  <c r="O912" i="1"/>
  <c r="N912" i="1"/>
  <c r="M912" i="1"/>
  <c r="K912" i="1"/>
  <c r="O911" i="1"/>
  <c r="N911" i="1"/>
  <c r="M911" i="1"/>
  <c r="K911" i="1"/>
  <c r="O910" i="1"/>
  <c r="N910" i="1"/>
  <c r="M910" i="1"/>
  <c r="K910" i="1"/>
  <c r="O909" i="1"/>
  <c r="N909" i="1"/>
  <c r="M909" i="1"/>
  <c r="K909" i="1"/>
  <c r="O908" i="1"/>
  <c r="N908" i="1"/>
  <c r="M908" i="1"/>
  <c r="K908" i="1"/>
  <c r="O907" i="1"/>
  <c r="N907" i="1"/>
  <c r="M907" i="1"/>
  <c r="K907" i="1"/>
  <c r="O906" i="1"/>
  <c r="N906" i="1"/>
  <c r="M906" i="1"/>
  <c r="K906" i="1"/>
  <c r="O905" i="1"/>
  <c r="N905" i="1"/>
  <c r="M905" i="1"/>
  <c r="K905" i="1"/>
  <c r="O904" i="1"/>
  <c r="N904" i="1"/>
  <c r="M904" i="1"/>
  <c r="K904" i="1"/>
  <c r="O903" i="1"/>
  <c r="N903" i="1"/>
  <c r="M903" i="1"/>
  <c r="K903" i="1"/>
  <c r="O902" i="1"/>
  <c r="N902" i="1"/>
  <c r="M902" i="1"/>
  <c r="K902" i="1"/>
  <c r="O901" i="1"/>
  <c r="N901" i="1"/>
  <c r="M901" i="1"/>
  <c r="K901" i="1"/>
  <c r="O900" i="1"/>
  <c r="N900" i="1"/>
  <c r="M900" i="1"/>
  <c r="K900" i="1"/>
  <c r="O899" i="1"/>
  <c r="N899" i="1"/>
  <c r="M899" i="1"/>
  <c r="K899" i="1"/>
  <c r="O898" i="1"/>
  <c r="N898" i="1"/>
  <c r="M898" i="1"/>
  <c r="K898" i="1"/>
  <c r="O897" i="1"/>
  <c r="N897" i="1"/>
  <c r="M897" i="1"/>
  <c r="K897" i="1"/>
  <c r="O896" i="1"/>
  <c r="N896" i="1"/>
  <c r="M896" i="1"/>
  <c r="K896" i="1"/>
  <c r="O895" i="1"/>
  <c r="N895" i="1"/>
  <c r="M895" i="1"/>
  <c r="K895" i="1"/>
  <c r="O894" i="1"/>
  <c r="N894" i="1"/>
  <c r="M894" i="1"/>
  <c r="K894" i="1"/>
  <c r="O893" i="1"/>
  <c r="N893" i="1"/>
  <c r="M893" i="1"/>
  <c r="K893" i="1"/>
  <c r="O892" i="1"/>
  <c r="N892" i="1"/>
  <c r="M892" i="1"/>
  <c r="K892" i="1"/>
  <c r="O891" i="1"/>
  <c r="N891" i="1"/>
  <c r="M891" i="1"/>
  <c r="K891" i="1"/>
  <c r="O890" i="1"/>
  <c r="N890" i="1"/>
  <c r="M890" i="1"/>
  <c r="K890" i="1"/>
  <c r="O889" i="1"/>
  <c r="N889" i="1"/>
  <c r="M889" i="1"/>
  <c r="K889" i="1"/>
  <c r="O888" i="1"/>
  <c r="N888" i="1"/>
  <c r="M888" i="1"/>
  <c r="K888" i="1"/>
  <c r="O887" i="1"/>
  <c r="N887" i="1"/>
  <c r="M887" i="1"/>
  <c r="K887" i="1"/>
  <c r="O886" i="1"/>
  <c r="N886" i="1"/>
  <c r="M886" i="1"/>
  <c r="K886" i="1"/>
  <c r="O885" i="1"/>
  <c r="N885" i="1"/>
  <c r="M885" i="1"/>
  <c r="K885" i="1"/>
  <c r="O884" i="1"/>
  <c r="N884" i="1"/>
  <c r="M884" i="1"/>
  <c r="K884" i="1"/>
  <c r="O883" i="1"/>
  <c r="N883" i="1"/>
  <c r="M883" i="1"/>
  <c r="K883" i="1"/>
  <c r="O882" i="1"/>
  <c r="N882" i="1"/>
  <c r="M882" i="1"/>
  <c r="K882" i="1"/>
  <c r="O881" i="1"/>
  <c r="N881" i="1"/>
  <c r="M881" i="1"/>
  <c r="K881" i="1"/>
  <c r="O880" i="1"/>
  <c r="N880" i="1"/>
  <c r="M880" i="1"/>
  <c r="K880" i="1"/>
  <c r="O879" i="1"/>
  <c r="N879" i="1"/>
  <c r="M879" i="1"/>
  <c r="K879" i="1"/>
  <c r="O878" i="1"/>
  <c r="N878" i="1"/>
  <c r="M878" i="1"/>
  <c r="K878" i="1"/>
  <c r="O877" i="1"/>
  <c r="N877" i="1"/>
  <c r="M877" i="1"/>
  <c r="K877" i="1"/>
  <c r="O876" i="1"/>
  <c r="N876" i="1"/>
  <c r="M876" i="1"/>
  <c r="K876" i="1"/>
  <c r="O875" i="1"/>
  <c r="N875" i="1"/>
  <c r="M875" i="1"/>
  <c r="K875" i="1"/>
  <c r="O874" i="1"/>
  <c r="N874" i="1"/>
  <c r="M874" i="1"/>
  <c r="K874" i="1"/>
  <c r="O873" i="1"/>
  <c r="N873" i="1"/>
  <c r="M873" i="1"/>
  <c r="K873" i="1"/>
  <c r="O872" i="1"/>
  <c r="N872" i="1"/>
  <c r="M872" i="1"/>
  <c r="K872" i="1"/>
  <c r="O871" i="1"/>
  <c r="N871" i="1"/>
  <c r="M871" i="1"/>
  <c r="K871" i="1"/>
  <c r="O870" i="1"/>
  <c r="N870" i="1"/>
  <c r="M870" i="1"/>
  <c r="K870" i="1"/>
  <c r="O869" i="1"/>
  <c r="N869" i="1"/>
  <c r="M869" i="1"/>
  <c r="K869" i="1"/>
  <c r="O868" i="1"/>
  <c r="N868" i="1"/>
  <c r="M868" i="1"/>
  <c r="K868" i="1"/>
  <c r="O867" i="1"/>
  <c r="N867" i="1"/>
  <c r="M867" i="1"/>
  <c r="K867" i="1"/>
  <c r="O866" i="1"/>
  <c r="N866" i="1"/>
  <c r="M866" i="1"/>
  <c r="K866" i="1"/>
  <c r="O865" i="1"/>
  <c r="N865" i="1"/>
  <c r="M865" i="1"/>
  <c r="K865" i="1"/>
  <c r="O864" i="1"/>
  <c r="N864" i="1"/>
  <c r="M864" i="1"/>
  <c r="K864" i="1"/>
  <c r="O863" i="1"/>
  <c r="N863" i="1"/>
  <c r="M863" i="1"/>
  <c r="K863" i="1"/>
  <c r="O862" i="1"/>
  <c r="N862" i="1"/>
  <c r="M862" i="1"/>
  <c r="K862" i="1"/>
  <c r="O861" i="1"/>
  <c r="N861" i="1"/>
  <c r="M861" i="1"/>
  <c r="K861" i="1"/>
  <c r="O860" i="1"/>
  <c r="N860" i="1"/>
  <c r="M860" i="1"/>
  <c r="K860" i="1"/>
  <c r="O859" i="1"/>
  <c r="N859" i="1"/>
  <c r="M859" i="1"/>
  <c r="K859" i="1"/>
  <c r="O858" i="1"/>
  <c r="N858" i="1"/>
  <c r="M858" i="1"/>
  <c r="K858" i="1"/>
  <c r="O857" i="1"/>
  <c r="N857" i="1"/>
  <c r="M857" i="1"/>
  <c r="K857" i="1"/>
  <c r="O856" i="1"/>
  <c r="N856" i="1"/>
  <c r="M856" i="1"/>
  <c r="K856" i="1"/>
  <c r="O855" i="1"/>
  <c r="N855" i="1"/>
  <c r="M855" i="1"/>
  <c r="K855" i="1"/>
  <c r="O854" i="1"/>
  <c r="N854" i="1"/>
  <c r="M854" i="1"/>
  <c r="K854" i="1"/>
  <c r="O853" i="1"/>
  <c r="N853" i="1"/>
  <c r="M853" i="1"/>
  <c r="K853" i="1"/>
  <c r="O852" i="1"/>
  <c r="N852" i="1"/>
  <c r="M852" i="1"/>
  <c r="K852" i="1"/>
  <c r="O851" i="1"/>
  <c r="N851" i="1"/>
  <c r="M851" i="1"/>
  <c r="K851" i="1"/>
  <c r="O850" i="1"/>
  <c r="N850" i="1"/>
  <c r="M850" i="1"/>
  <c r="K850" i="1"/>
  <c r="O849" i="1"/>
  <c r="N849" i="1"/>
  <c r="M849" i="1"/>
  <c r="K849" i="1"/>
  <c r="O848" i="1"/>
  <c r="N848" i="1"/>
  <c r="M848" i="1"/>
  <c r="K848" i="1"/>
  <c r="O847" i="1"/>
  <c r="N847" i="1"/>
  <c r="M847" i="1"/>
  <c r="K847" i="1"/>
  <c r="O846" i="1"/>
  <c r="N846" i="1"/>
  <c r="M846" i="1"/>
  <c r="K846" i="1"/>
  <c r="O845" i="1"/>
  <c r="N845" i="1"/>
  <c r="M845" i="1"/>
  <c r="K845" i="1"/>
  <c r="O844" i="1"/>
  <c r="N844" i="1"/>
  <c r="M844" i="1"/>
  <c r="K844" i="1"/>
  <c r="O843" i="1"/>
  <c r="N843" i="1"/>
  <c r="M843" i="1"/>
  <c r="K843" i="1"/>
  <c r="O842" i="1"/>
  <c r="N842" i="1"/>
  <c r="M842" i="1"/>
  <c r="K842" i="1"/>
  <c r="O841" i="1"/>
  <c r="N841" i="1"/>
  <c r="M841" i="1"/>
  <c r="K841" i="1"/>
  <c r="O840" i="1"/>
  <c r="N840" i="1"/>
  <c r="M840" i="1"/>
  <c r="K840" i="1"/>
  <c r="O839" i="1"/>
  <c r="N839" i="1"/>
  <c r="M839" i="1"/>
  <c r="K839" i="1"/>
  <c r="O838" i="1"/>
  <c r="N838" i="1"/>
  <c r="M838" i="1"/>
  <c r="K838" i="1"/>
  <c r="O837" i="1"/>
  <c r="N837" i="1"/>
  <c r="M837" i="1"/>
  <c r="K837" i="1"/>
  <c r="O836" i="1"/>
  <c r="N836" i="1"/>
  <c r="M836" i="1"/>
  <c r="K836" i="1"/>
  <c r="O835" i="1"/>
  <c r="N835" i="1"/>
  <c r="M835" i="1"/>
  <c r="K835" i="1"/>
  <c r="O834" i="1"/>
  <c r="N834" i="1"/>
  <c r="M834" i="1"/>
  <c r="K834" i="1"/>
  <c r="O833" i="1"/>
  <c r="N833" i="1"/>
  <c r="M833" i="1"/>
  <c r="K833" i="1"/>
  <c r="O832" i="1"/>
  <c r="N832" i="1"/>
  <c r="M832" i="1"/>
  <c r="K832" i="1"/>
  <c r="O831" i="1"/>
  <c r="N831" i="1"/>
  <c r="M831" i="1"/>
  <c r="K831" i="1"/>
  <c r="O830" i="1"/>
  <c r="N830" i="1"/>
  <c r="M830" i="1"/>
  <c r="K830" i="1"/>
  <c r="O829" i="1"/>
  <c r="N829" i="1"/>
  <c r="M829" i="1"/>
  <c r="K829" i="1"/>
  <c r="O828" i="1"/>
  <c r="N828" i="1"/>
  <c r="M828" i="1"/>
  <c r="K828" i="1"/>
  <c r="O827" i="1"/>
  <c r="N827" i="1"/>
  <c r="M827" i="1"/>
  <c r="K827" i="1"/>
  <c r="O826" i="1"/>
  <c r="N826" i="1"/>
  <c r="M826" i="1"/>
  <c r="K826" i="1"/>
  <c r="O825" i="1"/>
  <c r="N825" i="1"/>
  <c r="M825" i="1"/>
  <c r="K825" i="1"/>
  <c r="O824" i="1"/>
  <c r="N824" i="1"/>
  <c r="M824" i="1"/>
  <c r="K824" i="1"/>
  <c r="O823" i="1"/>
  <c r="N823" i="1"/>
  <c r="M823" i="1"/>
  <c r="K823" i="1"/>
  <c r="O822" i="1"/>
  <c r="N822" i="1"/>
  <c r="M822" i="1"/>
  <c r="K822" i="1"/>
  <c r="O821" i="1"/>
  <c r="N821" i="1"/>
  <c r="M821" i="1"/>
  <c r="K821" i="1"/>
  <c r="O820" i="1"/>
  <c r="N820" i="1"/>
  <c r="M820" i="1"/>
  <c r="K820" i="1"/>
  <c r="O819" i="1"/>
  <c r="N819" i="1"/>
  <c r="M819" i="1"/>
  <c r="K819" i="1"/>
  <c r="O818" i="1"/>
  <c r="N818" i="1"/>
  <c r="M818" i="1"/>
  <c r="K818" i="1"/>
  <c r="O817" i="1"/>
  <c r="N817" i="1"/>
  <c r="M817" i="1"/>
  <c r="K817" i="1"/>
  <c r="O816" i="1"/>
  <c r="N816" i="1"/>
  <c r="M816" i="1"/>
  <c r="K816" i="1"/>
  <c r="O815" i="1"/>
  <c r="N815" i="1"/>
  <c r="M815" i="1"/>
  <c r="K815" i="1"/>
  <c r="O814" i="1"/>
  <c r="N814" i="1"/>
  <c r="M814" i="1"/>
  <c r="K814" i="1"/>
  <c r="O813" i="1"/>
  <c r="N813" i="1"/>
  <c r="M813" i="1"/>
  <c r="K813" i="1"/>
  <c r="O812" i="1"/>
  <c r="N812" i="1"/>
  <c r="M812" i="1"/>
  <c r="K812" i="1"/>
  <c r="O811" i="1"/>
  <c r="N811" i="1"/>
  <c r="M811" i="1"/>
  <c r="K811" i="1"/>
  <c r="O810" i="1"/>
  <c r="N810" i="1"/>
  <c r="M810" i="1"/>
  <c r="K810" i="1"/>
  <c r="O809" i="1"/>
  <c r="N809" i="1"/>
  <c r="M809" i="1"/>
  <c r="K809" i="1"/>
  <c r="O808" i="1"/>
  <c r="N808" i="1"/>
  <c r="M808" i="1"/>
  <c r="K808" i="1"/>
  <c r="O807" i="1"/>
  <c r="N807" i="1"/>
  <c r="M807" i="1"/>
  <c r="K807" i="1"/>
  <c r="O806" i="1"/>
  <c r="N806" i="1"/>
  <c r="M806" i="1"/>
  <c r="K806" i="1"/>
  <c r="O805" i="1"/>
  <c r="N805" i="1"/>
  <c r="M805" i="1"/>
  <c r="K805" i="1"/>
  <c r="O804" i="1"/>
  <c r="N804" i="1"/>
  <c r="M804" i="1"/>
  <c r="K804" i="1"/>
  <c r="O803" i="1"/>
  <c r="N803" i="1"/>
  <c r="M803" i="1"/>
  <c r="K803" i="1"/>
  <c r="O802" i="1"/>
  <c r="N802" i="1"/>
  <c r="M802" i="1"/>
  <c r="K802" i="1"/>
  <c r="O801" i="1"/>
  <c r="N801" i="1"/>
  <c r="M801" i="1"/>
  <c r="K801" i="1"/>
  <c r="O800" i="1"/>
  <c r="N800" i="1"/>
  <c r="M800" i="1"/>
  <c r="K800" i="1"/>
  <c r="O799" i="1"/>
  <c r="N799" i="1"/>
  <c r="M799" i="1"/>
  <c r="K799" i="1"/>
  <c r="O798" i="1"/>
  <c r="N798" i="1"/>
  <c r="M798" i="1"/>
  <c r="K798" i="1"/>
  <c r="O797" i="1"/>
  <c r="N797" i="1"/>
  <c r="M797" i="1"/>
  <c r="K797" i="1"/>
  <c r="O796" i="1"/>
  <c r="N796" i="1"/>
  <c r="M796" i="1"/>
  <c r="K796" i="1"/>
  <c r="O795" i="1"/>
  <c r="N795" i="1"/>
  <c r="M795" i="1"/>
  <c r="K795" i="1"/>
  <c r="O794" i="1"/>
  <c r="N794" i="1"/>
  <c r="M794" i="1"/>
  <c r="K794" i="1"/>
  <c r="O793" i="1"/>
  <c r="N793" i="1"/>
  <c r="M793" i="1"/>
  <c r="K793" i="1"/>
  <c r="O792" i="1"/>
  <c r="N792" i="1"/>
  <c r="M792" i="1"/>
  <c r="K792" i="1"/>
  <c r="O791" i="1"/>
  <c r="N791" i="1"/>
  <c r="M791" i="1"/>
  <c r="K791" i="1"/>
  <c r="O790" i="1"/>
  <c r="N790" i="1"/>
  <c r="M790" i="1"/>
  <c r="K790" i="1"/>
  <c r="O789" i="1"/>
  <c r="N789" i="1"/>
  <c r="M789" i="1"/>
  <c r="K789" i="1"/>
  <c r="O788" i="1"/>
  <c r="N788" i="1"/>
  <c r="M788" i="1"/>
  <c r="K788" i="1"/>
  <c r="O787" i="1"/>
  <c r="N787" i="1"/>
  <c r="M787" i="1"/>
  <c r="K787" i="1"/>
  <c r="O786" i="1"/>
  <c r="N786" i="1"/>
  <c r="M786" i="1"/>
  <c r="K786" i="1"/>
  <c r="O785" i="1"/>
  <c r="N785" i="1"/>
  <c r="M785" i="1"/>
  <c r="K785" i="1"/>
  <c r="O784" i="1"/>
  <c r="N784" i="1"/>
  <c r="M784" i="1"/>
  <c r="K784" i="1"/>
  <c r="O783" i="1"/>
  <c r="N783" i="1"/>
  <c r="M783" i="1"/>
  <c r="K783" i="1"/>
  <c r="O782" i="1"/>
  <c r="N782" i="1"/>
  <c r="M782" i="1"/>
  <c r="K782" i="1"/>
  <c r="O781" i="1"/>
  <c r="N781" i="1"/>
  <c r="M781" i="1"/>
  <c r="K781" i="1"/>
  <c r="O780" i="1"/>
  <c r="N780" i="1"/>
  <c r="M780" i="1"/>
  <c r="K780" i="1"/>
  <c r="O779" i="1"/>
  <c r="N779" i="1"/>
  <c r="M779" i="1"/>
  <c r="K779" i="1"/>
  <c r="O778" i="1"/>
  <c r="N778" i="1"/>
  <c r="M778" i="1"/>
  <c r="K778" i="1"/>
  <c r="O777" i="1"/>
  <c r="N777" i="1"/>
  <c r="M777" i="1"/>
  <c r="K777" i="1"/>
  <c r="O776" i="1"/>
  <c r="N776" i="1"/>
  <c r="M776" i="1"/>
  <c r="K776" i="1"/>
  <c r="O775" i="1"/>
  <c r="N775" i="1"/>
  <c r="M775" i="1"/>
  <c r="K775" i="1"/>
  <c r="O774" i="1"/>
  <c r="N774" i="1"/>
  <c r="M774" i="1"/>
  <c r="K774" i="1"/>
  <c r="O773" i="1"/>
  <c r="N773" i="1"/>
  <c r="M773" i="1"/>
  <c r="K773" i="1"/>
  <c r="O772" i="1"/>
  <c r="N772" i="1"/>
  <c r="M772" i="1"/>
  <c r="K772" i="1"/>
  <c r="O771" i="1"/>
  <c r="N771" i="1"/>
  <c r="M771" i="1"/>
  <c r="K771" i="1"/>
  <c r="O770" i="1"/>
  <c r="N770" i="1"/>
  <c r="M770" i="1"/>
  <c r="K770" i="1"/>
  <c r="O769" i="1"/>
  <c r="N769" i="1"/>
  <c r="M769" i="1"/>
  <c r="K769" i="1"/>
  <c r="O768" i="1"/>
  <c r="N768" i="1"/>
  <c r="M768" i="1"/>
  <c r="K768" i="1"/>
  <c r="O767" i="1"/>
  <c r="N767" i="1"/>
  <c r="M767" i="1"/>
  <c r="K767" i="1"/>
  <c r="O766" i="1"/>
  <c r="N766" i="1"/>
  <c r="M766" i="1"/>
  <c r="K766" i="1"/>
  <c r="O765" i="1"/>
  <c r="N765" i="1"/>
  <c r="M765" i="1"/>
  <c r="K765" i="1"/>
  <c r="O764" i="1"/>
  <c r="N764" i="1"/>
  <c r="M764" i="1"/>
  <c r="K764" i="1"/>
  <c r="O763" i="1"/>
  <c r="N763" i="1"/>
  <c r="M763" i="1"/>
  <c r="K763" i="1"/>
  <c r="O762" i="1"/>
  <c r="N762" i="1"/>
  <c r="M762" i="1"/>
  <c r="K762" i="1"/>
  <c r="O761" i="1"/>
  <c r="N761" i="1"/>
  <c r="M761" i="1"/>
  <c r="K761" i="1"/>
  <c r="O760" i="1"/>
  <c r="N760" i="1"/>
  <c r="M760" i="1"/>
  <c r="K760" i="1"/>
  <c r="O759" i="1"/>
  <c r="N759" i="1"/>
  <c r="M759" i="1"/>
  <c r="K759" i="1"/>
  <c r="O758" i="1"/>
  <c r="N758" i="1"/>
  <c r="M758" i="1"/>
  <c r="K758" i="1"/>
  <c r="O757" i="1"/>
  <c r="N757" i="1"/>
  <c r="M757" i="1"/>
  <c r="K757" i="1"/>
  <c r="O756" i="1"/>
  <c r="N756" i="1"/>
  <c r="M756" i="1"/>
  <c r="K756" i="1"/>
  <c r="O755" i="1"/>
  <c r="N755" i="1"/>
  <c r="M755" i="1"/>
  <c r="K755" i="1"/>
  <c r="O754" i="1"/>
  <c r="N754" i="1"/>
  <c r="M754" i="1"/>
  <c r="K754" i="1"/>
  <c r="O753" i="1"/>
  <c r="N753" i="1"/>
  <c r="M753" i="1"/>
  <c r="K753" i="1"/>
  <c r="O752" i="1"/>
  <c r="N752" i="1"/>
  <c r="M752" i="1"/>
  <c r="K752" i="1"/>
  <c r="O751" i="1"/>
  <c r="N751" i="1"/>
  <c r="M751" i="1"/>
  <c r="K751" i="1"/>
  <c r="O750" i="1"/>
  <c r="N750" i="1"/>
  <c r="M750" i="1"/>
  <c r="K750" i="1"/>
  <c r="O749" i="1"/>
  <c r="N749" i="1"/>
  <c r="M749" i="1"/>
  <c r="K749" i="1"/>
  <c r="O748" i="1"/>
  <c r="N748" i="1"/>
  <c r="M748" i="1"/>
  <c r="K748" i="1"/>
  <c r="O747" i="1"/>
  <c r="N747" i="1"/>
  <c r="M747" i="1"/>
  <c r="K747" i="1"/>
  <c r="O746" i="1"/>
  <c r="N746" i="1"/>
  <c r="M746" i="1"/>
  <c r="K746" i="1"/>
  <c r="O745" i="1"/>
  <c r="N745" i="1"/>
  <c r="M745" i="1"/>
  <c r="K745" i="1"/>
  <c r="O744" i="1"/>
  <c r="N744" i="1"/>
  <c r="M744" i="1"/>
  <c r="K744" i="1"/>
  <c r="O743" i="1"/>
  <c r="N743" i="1"/>
  <c r="M743" i="1"/>
  <c r="K743" i="1"/>
  <c r="O742" i="1"/>
  <c r="N742" i="1"/>
  <c r="M742" i="1"/>
  <c r="K742" i="1"/>
  <c r="O741" i="1"/>
  <c r="N741" i="1"/>
  <c r="M741" i="1"/>
  <c r="K741" i="1"/>
  <c r="O740" i="1"/>
  <c r="N740" i="1"/>
  <c r="M740" i="1"/>
  <c r="K740" i="1"/>
  <c r="O739" i="1"/>
  <c r="N739" i="1"/>
  <c r="M739" i="1"/>
  <c r="K739" i="1"/>
  <c r="O738" i="1"/>
  <c r="N738" i="1"/>
  <c r="M738" i="1"/>
  <c r="K738" i="1"/>
  <c r="O737" i="1"/>
  <c r="N737" i="1"/>
  <c r="M737" i="1"/>
  <c r="K737" i="1"/>
  <c r="O736" i="1"/>
  <c r="N736" i="1"/>
  <c r="M736" i="1"/>
  <c r="K736" i="1"/>
  <c r="O735" i="1"/>
  <c r="N735" i="1"/>
  <c r="M735" i="1"/>
  <c r="K735" i="1"/>
  <c r="O734" i="1"/>
  <c r="N734" i="1"/>
  <c r="M734" i="1"/>
  <c r="K734" i="1"/>
  <c r="O733" i="1"/>
  <c r="N733" i="1"/>
  <c r="M733" i="1"/>
  <c r="K733" i="1"/>
  <c r="O732" i="1"/>
  <c r="N732" i="1"/>
  <c r="M732" i="1"/>
  <c r="K732" i="1"/>
  <c r="O731" i="1"/>
  <c r="N731" i="1"/>
  <c r="M731" i="1"/>
  <c r="K731" i="1"/>
  <c r="O730" i="1"/>
  <c r="N730" i="1"/>
  <c r="M730" i="1"/>
  <c r="K730" i="1"/>
  <c r="O729" i="1"/>
  <c r="N729" i="1"/>
  <c r="M729" i="1"/>
  <c r="K729" i="1"/>
  <c r="O728" i="1"/>
  <c r="N728" i="1"/>
  <c r="M728" i="1"/>
  <c r="K728" i="1"/>
  <c r="O727" i="1"/>
  <c r="N727" i="1"/>
  <c r="M727" i="1"/>
  <c r="K727" i="1"/>
  <c r="O726" i="1"/>
  <c r="N726" i="1"/>
  <c r="M726" i="1"/>
  <c r="K726" i="1"/>
  <c r="O725" i="1"/>
  <c r="N725" i="1"/>
  <c r="M725" i="1"/>
  <c r="K725" i="1"/>
  <c r="O724" i="1"/>
  <c r="N724" i="1"/>
  <c r="M724" i="1"/>
  <c r="K724" i="1"/>
  <c r="O723" i="1"/>
  <c r="N723" i="1"/>
  <c r="M723" i="1"/>
  <c r="K723" i="1"/>
  <c r="O722" i="1"/>
  <c r="N722" i="1"/>
  <c r="M722" i="1"/>
  <c r="K722" i="1"/>
  <c r="O721" i="1"/>
  <c r="N721" i="1"/>
  <c r="M721" i="1"/>
  <c r="K721" i="1"/>
  <c r="O720" i="1"/>
  <c r="N720" i="1"/>
  <c r="M720" i="1"/>
  <c r="K720" i="1"/>
  <c r="O719" i="1"/>
  <c r="N719" i="1"/>
  <c r="M719" i="1"/>
  <c r="K719" i="1"/>
  <c r="O718" i="1"/>
  <c r="N718" i="1"/>
  <c r="M718" i="1"/>
  <c r="K718" i="1"/>
  <c r="O717" i="1"/>
  <c r="N717" i="1"/>
  <c r="M717" i="1"/>
  <c r="K717" i="1"/>
  <c r="O716" i="1"/>
  <c r="N716" i="1"/>
  <c r="M716" i="1"/>
  <c r="K716" i="1"/>
  <c r="O715" i="1"/>
  <c r="N715" i="1"/>
  <c r="M715" i="1"/>
  <c r="K715" i="1"/>
  <c r="O714" i="1"/>
  <c r="N714" i="1"/>
  <c r="M714" i="1"/>
  <c r="K714" i="1"/>
  <c r="O713" i="1"/>
  <c r="N713" i="1"/>
  <c r="M713" i="1"/>
  <c r="K713" i="1"/>
  <c r="O712" i="1"/>
  <c r="N712" i="1"/>
  <c r="M712" i="1"/>
  <c r="K712" i="1"/>
  <c r="O711" i="1"/>
  <c r="N711" i="1"/>
  <c r="M711" i="1"/>
  <c r="K711" i="1"/>
  <c r="O710" i="1"/>
  <c r="N710" i="1"/>
  <c r="M710" i="1"/>
  <c r="K710" i="1"/>
  <c r="O709" i="1"/>
  <c r="N709" i="1"/>
  <c r="M709" i="1"/>
  <c r="K709" i="1"/>
  <c r="O708" i="1"/>
  <c r="N708" i="1"/>
  <c r="M708" i="1"/>
  <c r="K708" i="1"/>
  <c r="O707" i="1"/>
  <c r="N707" i="1"/>
  <c r="M707" i="1"/>
  <c r="K707" i="1"/>
  <c r="O706" i="1"/>
  <c r="N706" i="1"/>
  <c r="M706" i="1"/>
  <c r="K706" i="1"/>
  <c r="O705" i="1"/>
  <c r="N705" i="1"/>
  <c r="M705" i="1"/>
  <c r="K705" i="1"/>
  <c r="O704" i="1"/>
  <c r="N704" i="1"/>
  <c r="M704" i="1"/>
  <c r="K704" i="1"/>
  <c r="O703" i="1"/>
  <c r="N703" i="1"/>
  <c r="M703" i="1"/>
  <c r="K703" i="1"/>
  <c r="O702" i="1"/>
  <c r="N702" i="1"/>
  <c r="M702" i="1"/>
  <c r="K702" i="1"/>
  <c r="O701" i="1"/>
  <c r="N701" i="1"/>
  <c r="M701" i="1"/>
  <c r="K701" i="1"/>
  <c r="O700" i="1"/>
  <c r="N700" i="1"/>
  <c r="M700" i="1"/>
  <c r="K700" i="1"/>
  <c r="O699" i="1"/>
  <c r="N699" i="1"/>
  <c r="M699" i="1"/>
  <c r="K699" i="1"/>
  <c r="O698" i="1"/>
  <c r="N698" i="1"/>
  <c r="M698" i="1"/>
  <c r="K698" i="1"/>
  <c r="O697" i="1"/>
  <c r="N697" i="1"/>
  <c r="M697" i="1"/>
  <c r="K697" i="1"/>
  <c r="O696" i="1"/>
  <c r="N696" i="1"/>
  <c r="M696" i="1"/>
  <c r="K696" i="1"/>
  <c r="O695" i="1"/>
  <c r="N695" i="1"/>
  <c r="M695" i="1"/>
  <c r="K695" i="1"/>
  <c r="O694" i="1"/>
  <c r="N694" i="1"/>
  <c r="M694" i="1"/>
  <c r="K694" i="1"/>
  <c r="O693" i="1"/>
  <c r="N693" i="1"/>
  <c r="M693" i="1"/>
  <c r="K693" i="1"/>
  <c r="O692" i="1"/>
  <c r="N692" i="1"/>
  <c r="M692" i="1"/>
  <c r="K692" i="1"/>
  <c r="O691" i="1"/>
  <c r="N691" i="1"/>
  <c r="M691" i="1"/>
  <c r="K691" i="1"/>
  <c r="O690" i="1"/>
  <c r="N690" i="1"/>
  <c r="M690" i="1"/>
  <c r="K690" i="1"/>
  <c r="O689" i="1"/>
  <c r="N689" i="1"/>
  <c r="M689" i="1"/>
  <c r="K689" i="1"/>
  <c r="O688" i="1"/>
  <c r="N688" i="1"/>
  <c r="M688" i="1"/>
  <c r="K688" i="1"/>
  <c r="O687" i="1"/>
  <c r="N687" i="1"/>
  <c r="M687" i="1"/>
  <c r="K687" i="1"/>
  <c r="O686" i="1"/>
  <c r="N686" i="1"/>
  <c r="M686" i="1"/>
  <c r="K686" i="1"/>
  <c r="O685" i="1"/>
  <c r="N685" i="1"/>
  <c r="M685" i="1"/>
  <c r="K685" i="1"/>
  <c r="O684" i="1"/>
  <c r="N684" i="1"/>
  <c r="M684" i="1"/>
  <c r="K684" i="1"/>
  <c r="O683" i="1"/>
  <c r="N683" i="1"/>
  <c r="M683" i="1"/>
  <c r="K683" i="1"/>
  <c r="O682" i="1"/>
  <c r="N682" i="1"/>
  <c r="M682" i="1"/>
  <c r="K682" i="1"/>
  <c r="O681" i="1"/>
  <c r="N681" i="1"/>
  <c r="M681" i="1"/>
  <c r="K681" i="1"/>
  <c r="O680" i="1"/>
  <c r="N680" i="1"/>
  <c r="M680" i="1"/>
  <c r="K680" i="1"/>
  <c r="O679" i="1"/>
  <c r="N679" i="1"/>
  <c r="M679" i="1"/>
  <c r="K679" i="1"/>
  <c r="O678" i="1"/>
  <c r="N678" i="1"/>
  <c r="M678" i="1"/>
  <c r="K678" i="1"/>
  <c r="O677" i="1"/>
  <c r="N677" i="1"/>
  <c r="M677" i="1"/>
  <c r="K677" i="1"/>
  <c r="O676" i="1"/>
  <c r="N676" i="1"/>
  <c r="M676" i="1"/>
  <c r="K676" i="1"/>
  <c r="O675" i="1"/>
  <c r="N675" i="1"/>
  <c r="M675" i="1"/>
  <c r="K675" i="1"/>
  <c r="O674" i="1"/>
  <c r="N674" i="1"/>
  <c r="M674" i="1"/>
  <c r="K674" i="1"/>
  <c r="O673" i="1"/>
  <c r="N673" i="1"/>
  <c r="M673" i="1"/>
  <c r="K673" i="1"/>
  <c r="O672" i="1"/>
  <c r="N672" i="1"/>
  <c r="M672" i="1"/>
  <c r="K672" i="1"/>
  <c r="O671" i="1"/>
  <c r="N671" i="1"/>
  <c r="M671" i="1"/>
  <c r="K671" i="1"/>
  <c r="O670" i="1"/>
  <c r="N670" i="1"/>
  <c r="M670" i="1"/>
  <c r="K670" i="1"/>
  <c r="O669" i="1"/>
  <c r="N669" i="1"/>
  <c r="M669" i="1"/>
  <c r="K669" i="1"/>
  <c r="O668" i="1"/>
  <c r="N668" i="1"/>
  <c r="M668" i="1"/>
  <c r="K668" i="1"/>
  <c r="O667" i="1"/>
  <c r="N667" i="1"/>
  <c r="M667" i="1"/>
  <c r="K667" i="1"/>
  <c r="O666" i="1"/>
  <c r="N666" i="1"/>
  <c r="M666" i="1"/>
  <c r="K666" i="1"/>
  <c r="O665" i="1"/>
  <c r="N665" i="1"/>
  <c r="M665" i="1"/>
  <c r="K665" i="1"/>
  <c r="O664" i="1"/>
  <c r="N664" i="1"/>
  <c r="M664" i="1"/>
  <c r="K664" i="1"/>
  <c r="O663" i="1"/>
  <c r="N663" i="1"/>
  <c r="M663" i="1"/>
  <c r="K663" i="1"/>
  <c r="O662" i="1"/>
  <c r="N662" i="1"/>
  <c r="M662" i="1"/>
  <c r="K662" i="1"/>
  <c r="O661" i="1"/>
  <c r="N661" i="1"/>
  <c r="M661" i="1"/>
  <c r="K661" i="1"/>
  <c r="O660" i="1"/>
  <c r="N660" i="1"/>
  <c r="M660" i="1"/>
  <c r="K660" i="1"/>
  <c r="O659" i="1"/>
  <c r="N659" i="1"/>
  <c r="M659" i="1"/>
  <c r="K659" i="1"/>
  <c r="O658" i="1"/>
  <c r="N658" i="1"/>
  <c r="M658" i="1"/>
  <c r="K658" i="1"/>
  <c r="O657" i="1"/>
  <c r="N657" i="1"/>
  <c r="M657" i="1"/>
  <c r="K657" i="1"/>
  <c r="O656" i="1"/>
  <c r="N656" i="1"/>
  <c r="M656" i="1"/>
  <c r="K656" i="1"/>
  <c r="O655" i="1"/>
  <c r="N655" i="1"/>
  <c r="M655" i="1"/>
  <c r="K655" i="1"/>
  <c r="O654" i="1"/>
  <c r="N654" i="1"/>
  <c r="M654" i="1"/>
  <c r="K654" i="1"/>
  <c r="O653" i="1"/>
  <c r="N653" i="1"/>
  <c r="M653" i="1"/>
  <c r="K653" i="1"/>
  <c r="O652" i="1"/>
  <c r="N652" i="1"/>
  <c r="M652" i="1"/>
  <c r="K652" i="1"/>
  <c r="O651" i="1"/>
  <c r="N651" i="1"/>
  <c r="M651" i="1"/>
  <c r="K651" i="1"/>
  <c r="O650" i="1"/>
  <c r="N650" i="1"/>
  <c r="M650" i="1"/>
  <c r="K650" i="1"/>
  <c r="O649" i="1"/>
  <c r="N649" i="1"/>
  <c r="M649" i="1"/>
  <c r="K649" i="1"/>
  <c r="O648" i="1"/>
  <c r="N648" i="1"/>
  <c r="M648" i="1"/>
  <c r="K648" i="1"/>
  <c r="O647" i="1"/>
  <c r="N647" i="1"/>
  <c r="M647" i="1"/>
  <c r="K647" i="1"/>
  <c r="O646" i="1"/>
  <c r="N646" i="1"/>
  <c r="M646" i="1"/>
  <c r="K646" i="1"/>
  <c r="O645" i="1"/>
  <c r="N645" i="1"/>
  <c r="M645" i="1"/>
  <c r="K645" i="1"/>
  <c r="O644" i="1"/>
  <c r="N644" i="1"/>
  <c r="M644" i="1"/>
  <c r="K644" i="1"/>
  <c r="O643" i="1"/>
  <c r="N643" i="1"/>
  <c r="M643" i="1"/>
  <c r="K643" i="1"/>
  <c r="O642" i="1"/>
  <c r="N642" i="1"/>
  <c r="M642" i="1"/>
  <c r="K642" i="1"/>
  <c r="O641" i="1"/>
  <c r="N641" i="1"/>
  <c r="M641" i="1"/>
  <c r="K641" i="1"/>
  <c r="O640" i="1"/>
  <c r="N640" i="1"/>
  <c r="M640" i="1"/>
  <c r="K640" i="1"/>
  <c r="O639" i="1"/>
  <c r="N639" i="1"/>
  <c r="M639" i="1"/>
  <c r="K639" i="1"/>
  <c r="O638" i="1"/>
  <c r="N638" i="1"/>
  <c r="M638" i="1"/>
  <c r="K638" i="1"/>
  <c r="O637" i="1"/>
  <c r="N637" i="1"/>
  <c r="M637" i="1"/>
  <c r="K637" i="1"/>
  <c r="O636" i="1"/>
  <c r="N636" i="1"/>
  <c r="M636" i="1"/>
  <c r="K636" i="1"/>
  <c r="O635" i="1"/>
  <c r="N635" i="1"/>
  <c r="M635" i="1"/>
  <c r="K635" i="1"/>
  <c r="O634" i="1"/>
  <c r="N634" i="1"/>
  <c r="M634" i="1"/>
  <c r="K634" i="1"/>
  <c r="O633" i="1"/>
  <c r="N633" i="1"/>
  <c r="M633" i="1"/>
  <c r="K633" i="1"/>
  <c r="O632" i="1"/>
  <c r="N632" i="1"/>
  <c r="M632" i="1"/>
  <c r="K632" i="1"/>
  <c r="O631" i="1"/>
  <c r="N631" i="1"/>
  <c r="M631" i="1"/>
  <c r="K631" i="1"/>
  <c r="O630" i="1"/>
  <c r="N630" i="1"/>
  <c r="M630" i="1"/>
  <c r="K630" i="1"/>
  <c r="O629" i="1"/>
  <c r="N629" i="1"/>
  <c r="M629" i="1"/>
  <c r="K629" i="1"/>
  <c r="O628" i="1"/>
  <c r="N628" i="1"/>
  <c r="M628" i="1"/>
  <c r="K628" i="1"/>
  <c r="O627" i="1"/>
  <c r="N627" i="1"/>
  <c r="M627" i="1"/>
  <c r="K627" i="1"/>
  <c r="O626" i="1"/>
  <c r="N626" i="1"/>
  <c r="M626" i="1"/>
  <c r="K626" i="1"/>
  <c r="O625" i="1"/>
  <c r="N625" i="1"/>
  <c r="M625" i="1"/>
  <c r="K625" i="1"/>
  <c r="O624" i="1"/>
  <c r="N624" i="1"/>
  <c r="M624" i="1"/>
  <c r="K624" i="1"/>
  <c r="O623" i="1"/>
  <c r="N623" i="1"/>
  <c r="M623" i="1"/>
  <c r="K623" i="1"/>
  <c r="O622" i="1"/>
  <c r="N622" i="1"/>
  <c r="M622" i="1"/>
  <c r="K622" i="1"/>
  <c r="O621" i="1"/>
  <c r="N621" i="1"/>
  <c r="M621" i="1"/>
  <c r="K621" i="1"/>
  <c r="O620" i="1"/>
  <c r="N620" i="1"/>
  <c r="M620" i="1"/>
  <c r="K620" i="1"/>
  <c r="O619" i="1"/>
  <c r="N619" i="1"/>
  <c r="M619" i="1"/>
  <c r="K619" i="1"/>
  <c r="O618" i="1"/>
  <c r="N618" i="1"/>
  <c r="M618" i="1"/>
  <c r="K618" i="1"/>
  <c r="O617" i="1"/>
  <c r="N617" i="1"/>
  <c r="M617" i="1"/>
  <c r="K617" i="1"/>
  <c r="O616" i="1"/>
  <c r="N616" i="1"/>
  <c r="M616" i="1"/>
  <c r="K616" i="1"/>
  <c r="O615" i="1"/>
  <c r="N615" i="1"/>
  <c r="M615" i="1"/>
  <c r="K615" i="1"/>
  <c r="O614" i="1"/>
  <c r="N614" i="1"/>
  <c r="M614" i="1"/>
  <c r="K614" i="1"/>
  <c r="O613" i="1"/>
  <c r="N613" i="1"/>
  <c r="M613" i="1"/>
  <c r="K613" i="1"/>
  <c r="O612" i="1"/>
  <c r="N612" i="1"/>
  <c r="M612" i="1"/>
  <c r="K612" i="1"/>
  <c r="O611" i="1"/>
  <c r="N611" i="1"/>
  <c r="M611" i="1"/>
  <c r="K611" i="1"/>
  <c r="O610" i="1"/>
  <c r="N610" i="1"/>
  <c r="M610" i="1"/>
  <c r="K610" i="1"/>
  <c r="O609" i="1"/>
  <c r="N609" i="1"/>
  <c r="M609" i="1"/>
  <c r="K609" i="1"/>
  <c r="O608" i="1"/>
  <c r="N608" i="1"/>
  <c r="M608" i="1"/>
  <c r="K608" i="1"/>
  <c r="O607" i="1"/>
  <c r="N607" i="1"/>
  <c r="M607" i="1"/>
  <c r="K607" i="1"/>
  <c r="O606" i="1"/>
  <c r="N606" i="1"/>
  <c r="M606" i="1"/>
  <c r="K606" i="1"/>
  <c r="O605" i="1"/>
  <c r="N605" i="1"/>
  <c r="M605" i="1"/>
  <c r="K605" i="1"/>
  <c r="O604" i="1"/>
  <c r="N604" i="1"/>
  <c r="M604" i="1"/>
  <c r="K604" i="1"/>
  <c r="O603" i="1"/>
  <c r="N603" i="1"/>
  <c r="M603" i="1"/>
  <c r="K603" i="1"/>
  <c r="O602" i="1"/>
  <c r="N602" i="1"/>
  <c r="M602" i="1"/>
  <c r="K602" i="1"/>
  <c r="O601" i="1"/>
  <c r="N601" i="1"/>
  <c r="M601" i="1"/>
  <c r="K601" i="1"/>
  <c r="O600" i="1"/>
  <c r="N600" i="1"/>
  <c r="M600" i="1"/>
  <c r="K600" i="1"/>
  <c r="O599" i="1"/>
  <c r="N599" i="1"/>
  <c r="M599" i="1"/>
  <c r="K599" i="1"/>
  <c r="O598" i="1"/>
  <c r="N598" i="1"/>
  <c r="M598" i="1"/>
  <c r="K598" i="1"/>
  <c r="O597" i="1"/>
  <c r="N597" i="1"/>
  <c r="M597" i="1"/>
  <c r="K597" i="1"/>
  <c r="O596" i="1"/>
  <c r="N596" i="1"/>
  <c r="M596" i="1"/>
  <c r="K596" i="1"/>
  <c r="O595" i="1"/>
  <c r="N595" i="1"/>
  <c r="M595" i="1"/>
  <c r="K595" i="1"/>
  <c r="O594" i="1"/>
  <c r="N594" i="1"/>
  <c r="M594" i="1"/>
  <c r="K594" i="1"/>
  <c r="O593" i="1"/>
  <c r="N593" i="1"/>
  <c r="M593" i="1"/>
  <c r="K593" i="1"/>
  <c r="O592" i="1"/>
  <c r="N592" i="1"/>
  <c r="M592" i="1"/>
  <c r="K592" i="1"/>
  <c r="O591" i="1"/>
  <c r="N591" i="1"/>
  <c r="M591" i="1"/>
  <c r="K591" i="1"/>
  <c r="O590" i="1"/>
  <c r="N590" i="1"/>
  <c r="M590" i="1"/>
  <c r="K590" i="1"/>
  <c r="O589" i="1"/>
  <c r="N589" i="1"/>
  <c r="M589" i="1"/>
  <c r="K589" i="1"/>
  <c r="O588" i="1"/>
  <c r="N588" i="1"/>
  <c r="M588" i="1"/>
  <c r="K588" i="1"/>
  <c r="O587" i="1"/>
  <c r="N587" i="1"/>
  <c r="M587" i="1"/>
  <c r="K587" i="1"/>
  <c r="O586" i="1"/>
  <c r="N586" i="1"/>
  <c r="M586" i="1"/>
  <c r="K586" i="1"/>
  <c r="O585" i="1"/>
  <c r="N585" i="1"/>
  <c r="M585" i="1"/>
  <c r="K585" i="1"/>
  <c r="O584" i="1"/>
  <c r="N584" i="1"/>
  <c r="M584" i="1"/>
  <c r="K584" i="1"/>
  <c r="O583" i="1"/>
  <c r="N583" i="1"/>
  <c r="M583" i="1"/>
  <c r="K583" i="1"/>
  <c r="O582" i="1"/>
  <c r="N582" i="1"/>
  <c r="M582" i="1"/>
  <c r="K582" i="1"/>
  <c r="O581" i="1"/>
  <c r="N581" i="1"/>
  <c r="M581" i="1"/>
  <c r="K581" i="1"/>
  <c r="O580" i="1"/>
  <c r="N580" i="1"/>
  <c r="M580" i="1"/>
  <c r="K580" i="1"/>
  <c r="O579" i="1"/>
  <c r="N579" i="1"/>
  <c r="M579" i="1"/>
  <c r="K579" i="1"/>
  <c r="O578" i="1"/>
  <c r="N578" i="1"/>
  <c r="M578" i="1"/>
  <c r="K578" i="1"/>
  <c r="O577" i="1"/>
  <c r="N577" i="1"/>
  <c r="M577" i="1"/>
  <c r="K577" i="1"/>
  <c r="O576" i="1"/>
  <c r="N576" i="1"/>
  <c r="M576" i="1"/>
  <c r="K576" i="1"/>
  <c r="O575" i="1"/>
  <c r="N575" i="1"/>
  <c r="M575" i="1"/>
  <c r="K575" i="1"/>
  <c r="O574" i="1"/>
  <c r="N574" i="1"/>
  <c r="M574" i="1"/>
  <c r="K574" i="1"/>
  <c r="O573" i="1"/>
  <c r="N573" i="1"/>
  <c r="M573" i="1"/>
  <c r="K573" i="1"/>
  <c r="O572" i="1"/>
  <c r="N572" i="1"/>
  <c r="M572" i="1"/>
  <c r="K572" i="1"/>
  <c r="O571" i="1"/>
  <c r="N571" i="1"/>
  <c r="M571" i="1"/>
  <c r="K571" i="1"/>
  <c r="O570" i="1"/>
  <c r="N570" i="1"/>
  <c r="M570" i="1"/>
  <c r="K570" i="1"/>
  <c r="O569" i="1"/>
  <c r="N569" i="1"/>
  <c r="M569" i="1"/>
  <c r="K569" i="1"/>
  <c r="O568" i="1"/>
  <c r="N568" i="1"/>
  <c r="M568" i="1"/>
  <c r="K568" i="1"/>
  <c r="O567" i="1"/>
  <c r="N567" i="1"/>
  <c r="M567" i="1"/>
  <c r="K567" i="1"/>
  <c r="O566" i="1"/>
  <c r="N566" i="1"/>
  <c r="M566" i="1"/>
  <c r="K566" i="1"/>
  <c r="O565" i="1"/>
  <c r="N565" i="1"/>
  <c r="M565" i="1"/>
  <c r="K565" i="1"/>
  <c r="O564" i="1"/>
  <c r="N564" i="1"/>
  <c r="M564" i="1"/>
  <c r="K564" i="1"/>
  <c r="O563" i="1"/>
  <c r="N563" i="1"/>
  <c r="M563" i="1"/>
  <c r="K563" i="1"/>
  <c r="O562" i="1"/>
  <c r="N562" i="1"/>
  <c r="M562" i="1"/>
  <c r="K562" i="1"/>
  <c r="O561" i="1"/>
  <c r="N561" i="1"/>
  <c r="M561" i="1"/>
  <c r="K561" i="1"/>
  <c r="O560" i="1"/>
  <c r="N560" i="1"/>
  <c r="M560" i="1"/>
  <c r="K560" i="1"/>
  <c r="O559" i="1"/>
  <c r="N559" i="1"/>
  <c r="M559" i="1"/>
  <c r="K559" i="1"/>
  <c r="O558" i="1"/>
  <c r="N558" i="1"/>
  <c r="M558" i="1"/>
  <c r="K558" i="1"/>
  <c r="O557" i="1"/>
  <c r="N557" i="1"/>
  <c r="M557" i="1"/>
  <c r="K557" i="1"/>
  <c r="O556" i="1"/>
  <c r="N556" i="1"/>
  <c r="M556" i="1"/>
  <c r="K556" i="1"/>
  <c r="O555" i="1"/>
  <c r="N555" i="1"/>
  <c r="M555" i="1"/>
  <c r="K555" i="1"/>
  <c r="O554" i="1"/>
  <c r="N554" i="1"/>
  <c r="M554" i="1"/>
  <c r="K554" i="1"/>
  <c r="O553" i="1"/>
  <c r="N553" i="1"/>
  <c r="M553" i="1"/>
  <c r="K553" i="1"/>
  <c r="O552" i="1"/>
  <c r="N552" i="1"/>
  <c r="M552" i="1"/>
  <c r="K552" i="1"/>
  <c r="O551" i="1"/>
  <c r="N551" i="1"/>
  <c r="M551" i="1"/>
  <c r="K551" i="1"/>
  <c r="O550" i="1"/>
  <c r="N550" i="1"/>
  <c r="M550" i="1"/>
  <c r="K550" i="1"/>
  <c r="O549" i="1"/>
  <c r="N549" i="1"/>
  <c r="M549" i="1"/>
  <c r="K549" i="1"/>
  <c r="O548" i="1"/>
  <c r="N548" i="1"/>
  <c r="M548" i="1"/>
  <c r="K548" i="1"/>
  <c r="O547" i="1"/>
  <c r="N547" i="1"/>
  <c r="M547" i="1"/>
  <c r="K547" i="1"/>
  <c r="O546" i="1"/>
  <c r="N546" i="1"/>
  <c r="M546" i="1"/>
  <c r="K546" i="1"/>
  <c r="O545" i="1"/>
  <c r="N545" i="1"/>
  <c r="M545" i="1"/>
  <c r="K545" i="1"/>
  <c r="O544" i="1"/>
  <c r="N544" i="1"/>
  <c r="M544" i="1"/>
  <c r="K544" i="1"/>
  <c r="O543" i="1"/>
  <c r="N543" i="1"/>
  <c r="M543" i="1"/>
  <c r="K543" i="1"/>
  <c r="O542" i="1"/>
  <c r="N542" i="1"/>
  <c r="M542" i="1"/>
  <c r="K542" i="1"/>
  <c r="O541" i="1"/>
  <c r="N541" i="1"/>
  <c r="M541" i="1"/>
  <c r="K541" i="1"/>
  <c r="O540" i="1"/>
  <c r="N540" i="1"/>
  <c r="M540" i="1"/>
  <c r="K540" i="1"/>
  <c r="O539" i="1"/>
  <c r="N539" i="1"/>
  <c r="M539" i="1"/>
  <c r="K539" i="1"/>
  <c r="O538" i="1"/>
  <c r="N538" i="1"/>
  <c r="M538" i="1"/>
  <c r="K538" i="1"/>
  <c r="O537" i="1"/>
  <c r="N537" i="1"/>
  <c r="M537" i="1"/>
  <c r="K537" i="1"/>
  <c r="O536" i="1"/>
  <c r="N536" i="1"/>
  <c r="M536" i="1"/>
  <c r="K536" i="1"/>
  <c r="O535" i="1"/>
  <c r="N535" i="1"/>
  <c r="M535" i="1"/>
  <c r="K535" i="1"/>
  <c r="O534" i="1"/>
  <c r="N534" i="1"/>
  <c r="M534" i="1"/>
  <c r="K534" i="1"/>
  <c r="O533" i="1"/>
  <c r="N533" i="1"/>
  <c r="M533" i="1"/>
  <c r="K533" i="1"/>
  <c r="O532" i="1"/>
  <c r="N532" i="1"/>
  <c r="M532" i="1"/>
  <c r="K532" i="1"/>
  <c r="O531" i="1"/>
  <c r="N531" i="1"/>
  <c r="M531" i="1"/>
  <c r="K531" i="1"/>
  <c r="O530" i="1"/>
  <c r="N530" i="1"/>
  <c r="M530" i="1"/>
  <c r="K530" i="1"/>
  <c r="O529" i="1"/>
  <c r="N529" i="1"/>
  <c r="M529" i="1"/>
  <c r="K529" i="1"/>
  <c r="O528" i="1"/>
  <c r="N528" i="1"/>
  <c r="M528" i="1"/>
  <c r="K528" i="1"/>
  <c r="O527" i="1"/>
  <c r="N527" i="1"/>
  <c r="M527" i="1"/>
  <c r="K527" i="1"/>
  <c r="O526" i="1"/>
  <c r="N526" i="1"/>
  <c r="M526" i="1"/>
  <c r="K526" i="1"/>
  <c r="O525" i="1"/>
  <c r="N525" i="1"/>
  <c r="M525" i="1"/>
  <c r="K525" i="1"/>
  <c r="O524" i="1"/>
  <c r="N524" i="1"/>
  <c r="M524" i="1"/>
  <c r="K524" i="1"/>
  <c r="O523" i="1"/>
  <c r="N523" i="1"/>
  <c r="M523" i="1"/>
  <c r="K523" i="1"/>
  <c r="O522" i="1"/>
  <c r="N522" i="1"/>
  <c r="M522" i="1"/>
  <c r="K522" i="1"/>
  <c r="O521" i="1"/>
  <c r="N521" i="1"/>
  <c r="M521" i="1"/>
  <c r="K521" i="1"/>
  <c r="O520" i="1"/>
  <c r="N520" i="1"/>
  <c r="M520" i="1"/>
  <c r="K520" i="1"/>
  <c r="O519" i="1"/>
  <c r="N519" i="1"/>
  <c r="M519" i="1"/>
  <c r="K519" i="1"/>
  <c r="O518" i="1"/>
  <c r="N518" i="1"/>
  <c r="M518" i="1"/>
  <c r="K518" i="1"/>
  <c r="O517" i="1"/>
  <c r="N517" i="1"/>
  <c r="M517" i="1"/>
  <c r="K517" i="1"/>
  <c r="O516" i="1"/>
  <c r="N516" i="1"/>
  <c r="M516" i="1"/>
  <c r="K516" i="1"/>
  <c r="O515" i="1"/>
  <c r="N515" i="1"/>
  <c r="M515" i="1"/>
  <c r="K515" i="1"/>
  <c r="O514" i="1"/>
  <c r="N514" i="1"/>
  <c r="M514" i="1"/>
  <c r="K514" i="1"/>
  <c r="O513" i="1"/>
  <c r="N513" i="1"/>
  <c r="M513" i="1"/>
  <c r="K513" i="1"/>
  <c r="O512" i="1"/>
  <c r="N512" i="1"/>
  <c r="M512" i="1"/>
  <c r="K512" i="1"/>
  <c r="O511" i="1"/>
  <c r="N511" i="1"/>
  <c r="M511" i="1"/>
  <c r="K511" i="1"/>
  <c r="O510" i="1"/>
  <c r="N510" i="1"/>
  <c r="M510" i="1"/>
  <c r="K510" i="1"/>
  <c r="O509" i="1"/>
  <c r="N509" i="1"/>
  <c r="M509" i="1"/>
  <c r="K509" i="1"/>
  <c r="O508" i="1"/>
  <c r="N508" i="1"/>
  <c r="M508" i="1"/>
  <c r="K508" i="1"/>
  <c r="O507" i="1"/>
  <c r="N507" i="1"/>
  <c r="M507" i="1"/>
  <c r="K507" i="1"/>
  <c r="O506" i="1"/>
  <c r="N506" i="1"/>
  <c r="M506" i="1"/>
  <c r="K506" i="1"/>
  <c r="O505" i="1"/>
  <c r="N505" i="1"/>
  <c r="M505" i="1"/>
  <c r="K505" i="1"/>
  <c r="O504" i="1"/>
  <c r="N504" i="1"/>
  <c r="M504" i="1"/>
  <c r="K504" i="1"/>
  <c r="O503" i="1"/>
  <c r="N503" i="1"/>
  <c r="M503" i="1"/>
  <c r="K503" i="1"/>
  <c r="O502" i="1"/>
  <c r="N502" i="1"/>
  <c r="M502" i="1"/>
  <c r="K502" i="1"/>
  <c r="O501" i="1"/>
  <c r="N501" i="1"/>
  <c r="M501" i="1"/>
  <c r="K501" i="1"/>
  <c r="O500" i="1"/>
  <c r="N500" i="1"/>
  <c r="M500" i="1"/>
  <c r="K500" i="1"/>
  <c r="O499" i="1"/>
  <c r="N499" i="1"/>
  <c r="M499" i="1"/>
  <c r="K499" i="1"/>
  <c r="O498" i="1"/>
  <c r="N498" i="1"/>
  <c r="M498" i="1"/>
  <c r="K498" i="1"/>
  <c r="O497" i="1"/>
  <c r="N497" i="1"/>
  <c r="M497" i="1"/>
  <c r="K497" i="1"/>
  <c r="O496" i="1"/>
  <c r="N496" i="1"/>
  <c r="M496" i="1"/>
  <c r="K496" i="1"/>
  <c r="O495" i="1"/>
  <c r="N495" i="1"/>
  <c r="M495" i="1"/>
  <c r="K495" i="1"/>
  <c r="O494" i="1"/>
  <c r="N494" i="1"/>
  <c r="M494" i="1"/>
  <c r="K494" i="1"/>
  <c r="O493" i="1"/>
  <c r="N493" i="1"/>
  <c r="M493" i="1"/>
  <c r="K493" i="1"/>
  <c r="O492" i="1"/>
  <c r="N492" i="1"/>
  <c r="M492" i="1"/>
  <c r="K492" i="1"/>
  <c r="O491" i="1"/>
  <c r="N491" i="1"/>
  <c r="M491" i="1"/>
  <c r="K491" i="1"/>
  <c r="O490" i="1"/>
  <c r="N490" i="1"/>
  <c r="M490" i="1"/>
  <c r="K490" i="1"/>
  <c r="O489" i="1"/>
  <c r="N489" i="1"/>
  <c r="M489" i="1"/>
  <c r="K489" i="1"/>
  <c r="O488" i="1"/>
  <c r="N488" i="1"/>
  <c r="M488" i="1"/>
  <c r="K488" i="1"/>
  <c r="O487" i="1"/>
  <c r="N487" i="1"/>
  <c r="M487" i="1"/>
  <c r="K487" i="1"/>
  <c r="O486" i="1"/>
  <c r="N486" i="1"/>
  <c r="M486" i="1"/>
  <c r="K486" i="1"/>
  <c r="O485" i="1"/>
  <c r="N485" i="1"/>
  <c r="M485" i="1"/>
  <c r="K485" i="1"/>
  <c r="O484" i="1"/>
  <c r="N484" i="1"/>
  <c r="M484" i="1"/>
  <c r="K484" i="1"/>
  <c r="O483" i="1"/>
  <c r="N483" i="1"/>
  <c r="M483" i="1"/>
  <c r="K483" i="1"/>
  <c r="O482" i="1"/>
  <c r="N482" i="1"/>
  <c r="M482" i="1"/>
  <c r="K482" i="1"/>
  <c r="O481" i="1"/>
  <c r="N481" i="1"/>
  <c r="M481" i="1"/>
  <c r="K481" i="1"/>
  <c r="O480" i="1"/>
  <c r="N480" i="1"/>
  <c r="M480" i="1"/>
  <c r="K480" i="1"/>
  <c r="O479" i="1"/>
  <c r="N479" i="1"/>
  <c r="M479" i="1"/>
  <c r="K479" i="1"/>
  <c r="O478" i="1"/>
  <c r="N478" i="1"/>
  <c r="M478" i="1"/>
  <c r="K478" i="1"/>
  <c r="O477" i="1"/>
  <c r="N477" i="1"/>
  <c r="M477" i="1"/>
  <c r="K477" i="1"/>
  <c r="O476" i="1"/>
  <c r="N476" i="1"/>
  <c r="M476" i="1"/>
  <c r="K476" i="1"/>
  <c r="O475" i="1"/>
  <c r="N475" i="1"/>
  <c r="M475" i="1"/>
  <c r="K475" i="1"/>
  <c r="O474" i="1"/>
  <c r="N474" i="1"/>
  <c r="M474" i="1"/>
  <c r="K474" i="1"/>
  <c r="O473" i="1"/>
  <c r="N473" i="1"/>
  <c r="M473" i="1"/>
  <c r="K473" i="1"/>
  <c r="O472" i="1"/>
  <c r="N472" i="1"/>
  <c r="M472" i="1"/>
  <c r="K472" i="1"/>
  <c r="O471" i="1"/>
  <c r="N471" i="1"/>
  <c r="M471" i="1"/>
  <c r="K471" i="1"/>
  <c r="O470" i="1"/>
  <c r="N470" i="1"/>
  <c r="M470" i="1"/>
  <c r="K470" i="1"/>
  <c r="O469" i="1"/>
  <c r="N469" i="1"/>
  <c r="M469" i="1"/>
  <c r="K469" i="1"/>
  <c r="O468" i="1"/>
  <c r="N468" i="1"/>
  <c r="M468" i="1"/>
  <c r="K468" i="1"/>
  <c r="O467" i="1"/>
  <c r="N467" i="1"/>
  <c r="M467" i="1"/>
  <c r="K467" i="1"/>
  <c r="O466" i="1"/>
  <c r="N466" i="1"/>
  <c r="M466" i="1"/>
  <c r="K466" i="1"/>
  <c r="O465" i="1"/>
  <c r="N465" i="1"/>
  <c r="M465" i="1"/>
  <c r="K465" i="1"/>
  <c r="O464" i="1"/>
  <c r="N464" i="1"/>
  <c r="M464" i="1"/>
  <c r="K464" i="1"/>
  <c r="O463" i="1"/>
  <c r="N463" i="1"/>
  <c r="M463" i="1"/>
  <c r="K463" i="1"/>
  <c r="O462" i="1"/>
  <c r="N462" i="1"/>
  <c r="M462" i="1"/>
  <c r="K462" i="1"/>
  <c r="O461" i="1"/>
  <c r="N461" i="1"/>
  <c r="M461" i="1"/>
  <c r="K461" i="1"/>
  <c r="O460" i="1"/>
  <c r="N460" i="1"/>
  <c r="M460" i="1"/>
  <c r="K460" i="1"/>
  <c r="O459" i="1"/>
  <c r="N459" i="1"/>
  <c r="M459" i="1"/>
  <c r="K459" i="1"/>
  <c r="O458" i="1"/>
  <c r="N458" i="1"/>
  <c r="M458" i="1"/>
  <c r="K458" i="1"/>
  <c r="O457" i="1"/>
  <c r="N457" i="1"/>
  <c r="M457" i="1"/>
  <c r="K457" i="1"/>
  <c r="O456" i="1"/>
  <c r="N456" i="1"/>
  <c r="M456" i="1"/>
  <c r="K456" i="1"/>
  <c r="O455" i="1"/>
  <c r="N455" i="1"/>
  <c r="M455" i="1"/>
  <c r="K455" i="1"/>
  <c r="O454" i="1"/>
  <c r="N454" i="1"/>
  <c r="M454" i="1"/>
  <c r="K454" i="1"/>
  <c r="O453" i="1"/>
  <c r="N453" i="1"/>
  <c r="M453" i="1"/>
  <c r="K453" i="1"/>
  <c r="O452" i="1"/>
  <c r="N452" i="1"/>
  <c r="M452" i="1"/>
  <c r="K452" i="1"/>
  <c r="O451" i="1"/>
  <c r="N451" i="1"/>
  <c r="M451" i="1"/>
  <c r="K451" i="1"/>
  <c r="O450" i="1"/>
  <c r="N450" i="1"/>
  <c r="M450" i="1"/>
  <c r="K450" i="1"/>
  <c r="O449" i="1"/>
  <c r="N449" i="1"/>
  <c r="M449" i="1"/>
  <c r="K449" i="1"/>
  <c r="O448" i="1"/>
  <c r="N448" i="1"/>
  <c r="M448" i="1"/>
  <c r="K448" i="1"/>
  <c r="O447" i="1"/>
  <c r="N447" i="1"/>
  <c r="M447" i="1"/>
  <c r="K447" i="1"/>
  <c r="O446" i="1"/>
  <c r="N446" i="1"/>
  <c r="M446" i="1"/>
  <c r="K446" i="1"/>
  <c r="O445" i="1"/>
  <c r="N445" i="1"/>
  <c r="M445" i="1"/>
  <c r="K445" i="1"/>
  <c r="O444" i="1"/>
  <c r="N444" i="1"/>
  <c r="M444" i="1"/>
  <c r="K444" i="1"/>
  <c r="O443" i="1"/>
  <c r="N443" i="1"/>
  <c r="M443" i="1"/>
  <c r="K443" i="1"/>
  <c r="O442" i="1"/>
  <c r="N442" i="1"/>
  <c r="M442" i="1"/>
  <c r="K442" i="1"/>
  <c r="O441" i="1"/>
  <c r="N441" i="1"/>
  <c r="M441" i="1"/>
  <c r="K441" i="1"/>
  <c r="O440" i="1"/>
  <c r="N440" i="1"/>
  <c r="M440" i="1"/>
  <c r="K440" i="1"/>
  <c r="O439" i="1"/>
  <c r="N439" i="1"/>
  <c r="M439" i="1"/>
  <c r="K439" i="1"/>
  <c r="O438" i="1"/>
  <c r="N438" i="1"/>
  <c r="M438" i="1"/>
  <c r="K438" i="1"/>
  <c r="O437" i="1"/>
  <c r="N437" i="1"/>
  <c r="M437" i="1"/>
  <c r="K437" i="1"/>
  <c r="O436" i="1"/>
  <c r="N436" i="1"/>
  <c r="M436" i="1"/>
  <c r="K436" i="1"/>
  <c r="O435" i="1"/>
  <c r="N435" i="1"/>
  <c r="M435" i="1"/>
  <c r="K435" i="1"/>
  <c r="O434" i="1"/>
  <c r="N434" i="1"/>
  <c r="M434" i="1"/>
  <c r="K434" i="1"/>
  <c r="O433" i="1"/>
  <c r="N433" i="1"/>
  <c r="M433" i="1"/>
  <c r="K433" i="1"/>
  <c r="O432" i="1"/>
  <c r="N432" i="1"/>
  <c r="M432" i="1"/>
  <c r="K432" i="1"/>
  <c r="O431" i="1"/>
  <c r="N431" i="1"/>
  <c r="M431" i="1"/>
  <c r="K431" i="1"/>
  <c r="O430" i="1"/>
  <c r="N430" i="1"/>
  <c r="M430" i="1"/>
  <c r="K430" i="1"/>
  <c r="O429" i="1"/>
  <c r="N429" i="1"/>
  <c r="M429" i="1"/>
  <c r="K429" i="1"/>
  <c r="O428" i="1"/>
  <c r="N428" i="1"/>
  <c r="M428" i="1"/>
  <c r="K428" i="1"/>
  <c r="O427" i="1"/>
  <c r="N427" i="1"/>
  <c r="M427" i="1"/>
  <c r="K427" i="1"/>
  <c r="O426" i="1"/>
  <c r="N426" i="1"/>
  <c r="M426" i="1"/>
  <c r="K426" i="1"/>
  <c r="O425" i="1"/>
  <c r="N425" i="1"/>
  <c r="M425" i="1"/>
  <c r="K425" i="1"/>
  <c r="O424" i="1"/>
  <c r="N424" i="1"/>
  <c r="M424" i="1"/>
  <c r="K424" i="1"/>
  <c r="O423" i="1"/>
  <c r="N423" i="1"/>
  <c r="M423" i="1"/>
  <c r="K423" i="1"/>
  <c r="O422" i="1"/>
  <c r="N422" i="1"/>
  <c r="M422" i="1"/>
  <c r="K422" i="1"/>
  <c r="O421" i="1"/>
  <c r="N421" i="1"/>
  <c r="M421" i="1"/>
  <c r="K421" i="1"/>
  <c r="O420" i="1"/>
  <c r="N420" i="1"/>
  <c r="M420" i="1"/>
  <c r="K420" i="1"/>
  <c r="O419" i="1"/>
  <c r="N419" i="1"/>
  <c r="M419" i="1"/>
  <c r="K419" i="1"/>
  <c r="O418" i="1"/>
  <c r="N418" i="1"/>
  <c r="M418" i="1"/>
  <c r="K418" i="1"/>
  <c r="O417" i="1"/>
  <c r="N417" i="1"/>
  <c r="M417" i="1"/>
  <c r="K417" i="1"/>
  <c r="O416" i="1"/>
  <c r="N416" i="1"/>
  <c r="M416" i="1"/>
  <c r="K416" i="1"/>
  <c r="O415" i="1"/>
  <c r="N415" i="1"/>
  <c r="M415" i="1"/>
  <c r="K415" i="1"/>
  <c r="O414" i="1"/>
  <c r="N414" i="1"/>
  <c r="M414" i="1"/>
  <c r="K414" i="1"/>
  <c r="O413" i="1"/>
  <c r="N413" i="1"/>
  <c r="M413" i="1"/>
  <c r="K413" i="1"/>
  <c r="O412" i="1"/>
  <c r="N412" i="1"/>
  <c r="M412" i="1"/>
  <c r="K412" i="1"/>
  <c r="O411" i="1"/>
  <c r="N411" i="1"/>
  <c r="M411" i="1"/>
  <c r="K411" i="1"/>
  <c r="O410" i="1"/>
  <c r="N410" i="1"/>
  <c r="M410" i="1"/>
  <c r="K410" i="1"/>
  <c r="O409" i="1"/>
  <c r="N409" i="1"/>
  <c r="M409" i="1"/>
  <c r="K409" i="1"/>
  <c r="O408" i="1"/>
  <c r="N408" i="1"/>
  <c r="M408" i="1"/>
  <c r="K408" i="1"/>
  <c r="O407" i="1"/>
  <c r="N407" i="1"/>
  <c r="M407" i="1"/>
  <c r="K407" i="1"/>
  <c r="O406" i="1"/>
  <c r="N406" i="1"/>
  <c r="M406" i="1"/>
  <c r="K406" i="1"/>
  <c r="O405" i="1"/>
  <c r="N405" i="1"/>
  <c r="M405" i="1"/>
  <c r="K405" i="1"/>
  <c r="O404" i="1"/>
  <c r="N404" i="1"/>
  <c r="M404" i="1"/>
  <c r="K404" i="1"/>
  <c r="O403" i="1"/>
  <c r="N403" i="1"/>
  <c r="M403" i="1"/>
  <c r="K403" i="1"/>
  <c r="O402" i="1"/>
  <c r="N402" i="1"/>
  <c r="M402" i="1"/>
  <c r="K402" i="1"/>
  <c r="O401" i="1"/>
  <c r="N401" i="1"/>
  <c r="M401" i="1"/>
  <c r="K401" i="1"/>
  <c r="O400" i="1"/>
  <c r="N400" i="1"/>
  <c r="M400" i="1"/>
  <c r="K400" i="1"/>
  <c r="O399" i="1"/>
  <c r="N399" i="1"/>
  <c r="M399" i="1"/>
  <c r="K399" i="1"/>
  <c r="O398" i="1"/>
  <c r="N398" i="1"/>
  <c r="M398" i="1"/>
  <c r="K398" i="1"/>
  <c r="O397" i="1"/>
  <c r="N397" i="1"/>
  <c r="M397" i="1"/>
  <c r="K397" i="1"/>
  <c r="O396" i="1"/>
  <c r="N396" i="1"/>
  <c r="M396" i="1"/>
  <c r="K396" i="1"/>
  <c r="O395" i="1"/>
  <c r="N395" i="1"/>
  <c r="M395" i="1"/>
  <c r="K395" i="1"/>
  <c r="O394" i="1"/>
  <c r="N394" i="1"/>
  <c r="M394" i="1"/>
  <c r="K394" i="1"/>
  <c r="O393" i="1"/>
  <c r="N393" i="1"/>
  <c r="M393" i="1"/>
  <c r="K393" i="1"/>
  <c r="O392" i="1"/>
  <c r="N392" i="1"/>
  <c r="M392" i="1"/>
  <c r="K392" i="1"/>
  <c r="O391" i="1"/>
  <c r="N391" i="1"/>
  <c r="M391" i="1"/>
  <c r="K391" i="1"/>
  <c r="O390" i="1"/>
  <c r="N390" i="1"/>
  <c r="M390" i="1"/>
  <c r="K390" i="1"/>
  <c r="O389" i="1"/>
  <c r="N389" i="1"/>
  <c r="M389" i="1"/>
  <c r="K389" i="1"/>
  <c r="O388" i="1"/>
  <c r="N388" i="1"/>
  <c r="M388" i="1"/>
  <c r="K388" i="1"/>
  <c r="O387" i="1"/>
  <c r="N387" i="1"/>
  <c r="M387" i="1"/>
  <c r="K387" i="1"/>
  <c r="O386" i="1"/>
  <c r="N386" i="1"/>
  <c r="M386" i="1"/>
  <c r="K386" i="1"/>
  <c r="O385" i="1"/>
  <c r="N385" i="1"/>
  <c r="M385" i="1"/>
  <c r="K385" i="1"/>
  <c r="O384" i="1"/>
  <c r="N384" i="1"/>
  <c r="M384" i="1"/>
  <c r="K384" i="1"/>
  <c r="O383" i="1"/>
  <c r="N383" i="1"/>
  <c r="M383" i="1"/>
  <c r="K383" i="1"/>
  <c r="O382" i="1"/>
  <c r="N382" i="1"/>
  <c r="M382" i="1"/>
  <c r="K382" i="1"/>
  <c r="O381" i="1"/>
  <c r="N381" i="1"/>
  <c r="M381" i="1"/>
  <c r="K381" i="1"/>
  <c r="O380" i="1"/>
  <c r="N380" i="1"/>
  <c r="M380" i="1"/>
  <c r="K380" i="1"/>
  <c r="O379" i="1"/>
  <c r="N379" i="1"/>
  <c r="M379" i="1"/>
  <c r="K379" i="1"/>
  <c r="O378" i="1"/>
  <c r="N378" i="1"/>
  <c r="M378" i="1"/>
  <c r="K378" i="1"/>
  <c r="O377" i="1"/>
  <c r="N377" i="1"/>
  <c r="M377" i="1"/>
  <c r="K377" i="1"/>
  <c r="O376" i="1"/>
  <c r="N376" i="1"/>
  <c r="M376" i="1"/>
  <c r="K376" i="1"/>
  <c r="O375" i="1"/>
  <c r="N375" i="1"/>
  <c r="M375" i="1"/>
  <c r="K375" i="1"/>
  <c r="O374" i="1"/>
  <c r="N374" i="1"/>
  <c r="M374" i="1"/>
  <c r="K374" i="1"/>
  <c r="O373" i="1"/>
  <c r="N373" i="1"/>
  <c r="M373" i="1"/>
  <c r="K373" i="1"/>
  <c r="O372" i="1"/>
  <c r="N372" i="1"/>
  <c r="M372" i="1"/>
  <c r="K372" i="1"/>
  <c r="O371" i="1"/>
  <c r="N371" i="1"/>
  <c r="M371" i="1"/>
  <c r="K371" i="1"/>
  <c r="O370" i="1"/>
  <c r="N370" i="1"/>
  <c r="M370" i="1"/>
  <c r="K370" i="1"/>
  <c r="O369" i="1"/>
  <c r="N369" i="1"/>
  <c r="M369" i="1"/>
  <c r="K369" i="1"/>
  <c r="O368" i="1"/>
  <c r="N368" i="1"/>
  <c r="M368" i="1"/>
  <c r="K368" i="1"/>
  <c r="O367" i="1"/>
  <c r="N367" i="1"/>
  <c r="M367" i="1"/>
  <c r="K367" i="1"/>
  <c r="O366" i="1"/>
  <c r="N366" i="1"/>
  <c r="M366" i="1"/>
  <c r="K366" i="1"/>
  <c r="O365" i="1"/>
  <c r="N365" i="1"/>
  <c r="M365" i="1"/>
  <c r="K365" i="1"/>
  <c r="O364" i="1"/>
  <c r="N364" i="1"/>
  <c r="M364" i="1"/>
  <c r="K364" i="1"/>
  <c r="O363" i="1"/>
  <c r="N363" i="1"/>
  <c r="M363" i="1"/>
  <c r="K363" i="1"/>
  <c r="O362" i="1"/>
  <c r="N362" i="1"/>
  <c r="M362" i="1"/>
  <c r="K362" i="1"/>
  <c r="O361" i="1"/>
  <c r="N361" i="1"/>
  <c r="M361" i="1"/>
  <c r="K361" i="1"/>
  <c r="O360" i="1"/>
  <c r="N360" i="1"/>
  <c r="M360" i="1"/>
  <c r="K360" i="1"/>
  <c r="O359" i="1"/>
  <c r="N359" i="1"/>
  <c r="M359" i="1"/>
  <c r="K359" i="1"/>
  <c r="O358" i="1"/>
  <c r="N358" i="1"/>
  <c r="M358" i="1"/>
  <c r="K358" i="1"/>
  <c r="O357" i="1"/>
  <c r="N357" i="1"/>
  <c r="M357" i="1"/>
  <c r="K357" i="1"/>
  <c r="O356" i="1"/>
  <c r="N356" i="1"/>
  <c r="M356" i="1"/>
  <c r="K356" i="1"/>
  <c r="O355" i="1"/>
  <c r="N355" i="1"/>
  <c r="M355" i="1"/>
  <c r="K355" i="1"/>
  <c r="O354" i="1"/>
  <c r="N354" i="1"/>
  <c r="M354" i="1"/>
  <c r="K354" i="1"/>
  <c r="O353" i="1"/>
  <c r="N353" i="1"/>
  <c r="M353" i="1"/>
  <c r="K353" i="1"/>
  <c r="O352" i="1"/>
  <c r="N352" i="1"/>
  <c r="M352" i="1"/>
  <c r="K352" i="1"/>
  <c r="O351" i="1"/>
  <c r="N351" i="1"/>
  <c r="M351" i="1"/>
  <c r="K351" i="1"/>
  <c r="O350" i="1"/>
  <c r="N350" i="1"/>
  <c r="M350" i="1"/>
  <c r="K350" i="1"/>
  <c r="O349" i="1"/>
  <c r="N349" i="1"/>
  <c r="M349" i="1"/>
  <c r="K349" i="1"/>
  <c r="O348" i="1"/>
  <c r="N348" i="1"/>
  <c r="M348" i="1"/>
  <c r="K348" i="1"/>
  <c r="O347" i="1"/>
  <c r="N347" i="1"/>
  <c r="M347" i="1"/>
  <c r="K347" i="1"/>
  <c r="O346" i="1"/>
  <c r="N346" i="1"/>
  <c r="M346" i="1"/>
  <c r="K346" i="1"/>
  <c r="O345" i="1"/>
  <c r="N345" i="1"/>
  <c r="M345" i="1"/>
  <c r="K345" i="1"/>
  <c r="O344" i="1"/>
  <c r="N344" i="1"/>
  <c r="M344" i="1"/>
  <c r="K344" i="1"/>
  <c r="O343" i="1"/>
  <c r="N343" i="1"/>
  <c r="M343" i="1"/>
  <c r="K343" i="1"/>
  <c r="O342" i="1"/>
  <c r="N342" i="1"/>
  <c r="M342" i="1"/>
  <c r="K342" i="1"/>
  <c r="O341" i="1"/>
  <c r="N341" i="1"/>
  <c r="M341" i="1"/>
  <c r="K341" i="1"/>
  <c r="O340" i="1"/>
  <c r="N340" i="1"/>
  <c r="M340" i="1"/>
  <c r="K340" i="1"/>
  <c r="O339" i="1"/>
  <c r="N339" i="1"/>
  <c r="M339" i="1"/>
  <c r="K339" i="1"/>
  <c r="O338" i="1"/>
  <c r="N338" i="1"/>
  <c r="M338" i="1"/>
  <c r="K338" i="1"/>
  <c r="O337" i="1"/>
  <c r="N337" i="1"/>
  <c r="M337" i="1"/>
  <c r="K337" i="1"/>
  <c r="O336" i="1"/>
  <c r="N336" i="1"/>
  <c r="M336" i="1"/>
  <c r="K336" i="1"/>
  <c r="O335" i="1"/>
  <c r="N335" i="1"/>
  <c r="M335" i="1"/>
  <c r="K335" i="1"/>
  <c r="O334" i="1"/>
  <c r="N334" i="1"/>
  <c r="M334" i="1"/>
  <c r="K334" i="1"/>
  <c r="O333" i="1"/>
  <c r="N333" i="1"/>
  <c r="M333" i="1"/>
  <c r="K333" i="1"/>
  <c r="O332" i="1"/>
  <c r="N332" i="1"/>
  <c r="M332" i="1"/>
  <c r="K332" i="1"/>
  <c r="O331" i="1"/>
  <c r="N331" i="1"/>
  <c r="M331" i="1"/>
  <c r="K331" i="1"/>
  <c r="O330" i="1"/>
  <c r="N330" i="1"/>
  <c r="M330" i="1"/>
  <c r="K330" i="1"/>
  <c r="O329" i="1"/>
  <c r="N329" i="1"/>
  <c r="M329" i="1"/>
  <c r="K329" i="1"/>
  <c r="O328" i="1"/>
  <c r="N328" i="1"/>
  <c r="M328" i="1"/>
  <c r="K328" i="1"/>
  <c r="O327" i="1"/>
  <c r="N327" i="1"/>
  <c r="M327" i="1"/>
  <c r="K327" i="1"/>
  <c r="O326" i="1"/>
  <c r="N326" i="1"/>
  <c r="M326" i="1"/>
  <c r="K326" i="1"/>
  <c r="O325" i="1"/>
  <c r="N325" i="1"/>
  <c r="M325" i="1"/>
  <c r="K325" i="1"/>
  <c r="O324" i="1"/>
  <c r="N324" i="1"/>
  <c r="M324" i="1"/>
  <c r="K324" i="1"/>
  <c r="O323" i="1"/>
  <c r="N323" i="1"/>
  <c r="M323" i="1"/>
  <c r="K323" i="1"/>
  <c r="O322" i="1"/>
  <c r="N322" i="1"/>
  <c r="M322" i="1"/>
  <c r="K322" i="1"/>
  <c r="O321" i="1"/>
  <c r="N321" i="1"/>
  <c r="M321" i="1"/>
  <c r="K321" i="1"/>
  <c r="O320" i="1"/>
  <c r="N320" i="1"/>
  <c r="M320" i="1"/>
  <c r="K320" i="1"/>
  <c r="O319" i="1"/>
  <c r="N319" i="1"/>
  <c r="M319" i="1"/>
  <c r="K319" i="1"/>
  <c r="O318" i="1"/>
  <c r="N318" i="1"/>
  <c r="M318" i="1"/>
  <c r="K318" i="1"/>
  <c r="O317" i="1"/>
  <c r="N317" i="1"/>
  <c r="M317" i="1"/>
  <c r="K317" i="1"/>
  <c r="O316" i="1"/>
  <c r="N316" i="1"/>
  <c r="M316" i="1"/>
  <c r="K316" i="1"/>
  <c r="O315" i="1"/>
  <c r="N315" i="1"/>
  <c r="M315" i="1"/>
  <c r="K315" i="1"/>
  <c r="O314" i="1"/>
  <c r="N314" i="1"/>
  <c r="M314" i="1"/>
  <c r="K314" i="1"/>
  <c r="O313" i="1"/>
  <c r="N313" i="1"/>
  <c r="M313" i="1"/>
  <c r="K313" i="1"/>
  <c r="O312" i="1"/>
  <c r="N312" i="1"/>
  <c r="M312" i="1"/>
  <c r="K312" i="1"/>
  <c r="O311" i="1"/>
  <c r="N311" i="1"/>
  <c r="M311" i="1"/>
  <c r="K311" i="1"/>
  <c r="O310" i="1"/>
  <c r="N310" i="1"/>
  <c r="M310" i="1"/>
  <c r="K310" i="1"/>
  <c r="O309" i="1"/>
  <c r="N309" i="1"/>
  <c r="M309" i="1"/>
  <c r="K309" i="1"/>
  <c r="O308" i="1"/>
  <c r="N308" i="1"/>
  <c r="M308" i="1"/>
  <c r="K308" i="1"/>
  <c r="O307" i="1"/>
  <c r="N307" i="1"/>
  <c r="M307" i="1"/>
  <c r="K307" i="1"/>
  <c r="O306" i="1"/>
  <c r="N306" i="1"/>
  <c r="M306" i="1"/>
  <c r="K306" i="1"/>
  <c r="O305" i="1"/>
  <c r="N305" i="1"/>
  <c r="M305" i="1"/>
  <c r="K305" i="1"/>
  <c r="O304" i="1"/>
  <c r="N304" i="1"/>
  <c r="M304" i="1"/>
  <c r="K304" i="1"/>
  <c r="O303" i="1"/>
  <c r="N303" i="1"/>
  <c r="M303" i="1"/>
  <c r="K303" i="1"/>
  <c r="O302" i="1"/>
  <c r="N302" i="1"/>
  <c r="M302" i="1"/>
  <c r="K302" i="1"/>
  <c r="O301" i="1"/>
  <c r="N301" i="1"/>
  <c r="M301" i="1"/>
  <c r="K301" i="1"/>
  <c r="O300" i="1"/>
  <c r="N300" i="1"/>
  <c r="M300" i="1"/>
  <c r="K300" i="1"/>
  <c r="O299" i="1"/>
  <c r="N299" i="1"/>
  <c r="M299" i="1"/>
  <c r="K299" i="1"/>
  <c r="O298" i="1"/>
  <c r="N298" i="1"/>
  <c r="M298" i="1"/>
  <c r="K298" i="1"/>
  <c r="O297" i="1"/>
  <c r="N297" i="1"/>
  <c r="M297" i="1"/>
  <c r="K297" i="1"/>
  <c r="O296" i="1"/>
  <c r="N296" i="1"/>
  <c r="M296" i="1"/>
  <c r="K296" i="1"/>
  <c r="O295" i="1"/>
  <c r="N295" i="1"/>
  <c r="M295" i="1"/>
  <c r="K295" i="1"/>
  <c r="O294" i="1"/>
  <c r="N294" i="1"/>
  <c r="M294" i="1"/>
  <c r="K294" i="1"/>
  <c r="O293" i="1"/>
  <c r="N293" i="1"/>
  <c r="M293" i="1"/>
  <c r="K293" i="1"/>
  <c r="O292" i="1"/>
  <c r="N292" i="1"/>
  <c r="M292" i="1"/>
  <c r="K292" i="1"/>
  <c r="O291" i="1"/>
  <c r="N291" i="1"/>
  <c r="M291" i="1"/>
  <c r="K291" i="1"/>
  <c r="O290" i="1"/>
  <c r="N290" i="1"/>
  <c r="M290" i="1"/>
  <c r="K290" i="1"/>
  <c r="O289" i="1"/>
  <c r="N289" i="1"/>
  <c r="M289" i="1"/>
  <c r="K289" i="1"/>
  <c r="O288" i="1"/>
  <c r="N288" i="1"/>
  <c r="M288" i="1"/>
  <c r="K288" i="1"/>
  <c r="O287" i="1"/>
  <c r="N287" i="1"/>
  <c r="M287" i="1"/>
  <c r="K287" i="1"/>
  <c r="O286" i="1"/>
  <c r="N286" i="1"/>
  <c r="M286" i="1"/>
  <c r="K286" i="1"/>
  <c r="O285" i="1"/>
  <c r="N285" i="1"/>
  <c r="M285" i="1"/>
  <c r="K285" i="1"/>
  <c r="O284" i="1"/>
  <c r="N284" i="1"/>
  <c r="M284" i="1"/>
  <c r="K284" i="1"/>
  <c r="O283" i="1"/>
  <c r="N283" i="1"/>
  <c r="M283" i="1"/>
  <c r="K283" i="1"/>
  <c r="O282" i="1"/>
  <c r="N282" i="1"/>
  <c r="M282" i="1"/>
  <c r="K282" i="1"/>
  <c r="O281" i="1"/>
  <c r="N281" i="1"/>
  <c r="M281" i="1"/>
  <c r="K281" i="1"/>
  <c r="O280" i="1"/>
  <c r="N280" i="1"/>
  <c r="M280" i="1"/>
  <c r="K280" i="1"/>
  <c r="O279" i="1"/>
  <c r="N279" i="1"/>
  <c r="M279" i="1"/>
  <c r="K279" i="1"/>
  <c r="O278" i="1"/>
  <c r="N278" i="1"/>
  <c r="M278" i="1"/>
  <c r="K278" i="1"/>
  <c r="O277" i="1"/>
  <c r="N277" i="1"/>
  <c r="M277" i="1"/>
  <c r="K277" i="1"/>
  <c r="O276" i="1"/>
  <c r="N276" i="1"/>
  <c r="M276" i="1"/>
  <c r="K276" i="1"/>
  <c r="O275" i="1"/>
  <c r="N275" i="1"/>
  <c r="M275" i="1"/>
  <c r="K275" i="1"/>
  <c r="O274" i="1"/>
  <c r="N274" i="1"/>
  <c r="M274" i="1"/>
  <c r="K274" i="1"/>
  <c r="O273" i="1"/>
  <c r="N273" i="1"/>
  <c r="M273" i="1"/>
  <c r="K273" i="1"/>
  <c r="O272" i="1"/>
  <c r="N272" i="1"/>
  <c r="M272" i="1"/>
  <c r="K272" i="1"/>
  <c r="O271" i="1"/>
  <c r="N271" i="1"/>
  <c r="M271" i="1"/>
  <c r="K271" i="1"/>
  <c r="O270" i="1"/>
  <c r="N270" i="1"/>
  <c r="M270" i="1"/>
  <c r="K270" i="1"/>
  <c r="O269" i="1"/>
  <c r="N269" i="1"/>
  <c r="M269" i="1"/>
  <c r="K269" i="1"/>
  <c r="O268" i="1"/>
  <c r="N268" i="1"/>
  <c r="M268" i="1"/>
  <c r="K268" i="1"/>
  <c r="O267" i="1"/>
  <c r="N267" i="1"/>
  <c r="M267" i="1"/>
  <c r="K267" i="1"/>
  <c r="O266" i="1"/>
  <c r="N266" i="1"/>
  <c r="M266" i="1"/>
  <c r="K266" i="1"/>
  <c r="O265" i="1"/>
  <c r="N265" i="1"/>
  <c r="M265" i="1"/>
  <c r="K265" i="1"/>
  <c r="O264" i="1"/>
  <c r="N264" i="1"/>
  <c r="M264" i="1"/>
  <c r="K264" i="1"/>
  <c r="O263" i="1"/>
  <c r="N263" i="1"/>
  <c r="M263" i="1"/>
  <c r="K263" i="1"/>
  <c r="O262" i="1"/>
  <c r="N262" i="1"/>
  <c r="M262" i="1"/>
  <c r="K262" i="1"/>
  <c r="O261" i="1"/>
  <c r="N261" i="1"/>
  <c r="M261" i="1"/>
  <c r="K261" i="1"/>
  <c r="O260" i="1"/>
  <c r="N260" i="1"/>
  <c r="M260" i="1"/>
  <c r="K260" i="1"/>
  <c r="O259" i="1"/>
  <c r="N259" i="1"/>
  <c r="M259" i="1"/>
  <c r="K259" i="1"/>
  <c r="O258" i="1"/>
  <c r="N258" i="1"/>
  <c r="M258" i="1"/>
  <c r="K258" i="1"/>
  <c r="O257" i="1"/>
  <c r="N257" i="1"/>
  <c r="M257" i="1"/>
  <c r="K257" i="1"/>
  <c r="O256" i="1"/>
  <c r="N256" i="1"/>
  <c r="M256" i="1"/>
  <c r="K256" i="1"/>
  <c r="O255" i="1"/>
  <c r="N255" i="1"/>
  <c r="M255" i="1"/>
  <c r="K255" i="1"/>
  <c r="O254" i="1"/>
  <c r="N254" i="1"/>
  <c r="M254" i="1"/>
  <c r="K254" i="1"/>
  <c r="O253" i="1"/>
  <c r="N253" i="1"/>
  <c r="M253" i="1"/>
  <c r="K253" i="1"/>
  <c r="O252" i="1"/>
  <c r="N252" i="1"/>
  <c r="M252" i="1"/>
  <c r="K252" i="1"/>
  <c r="O251" i="1"/>
  <c r="N251" i="1"/>
  <c r="M251" i="1"/>
  <c r="K251" i="1"/>
  <c r="O250" i="1"/>
  <c r="N250" i="1"/>
  <c r="M250" i="1"/>
  <c r="K250" i="1"/>
  <c r="O249" i="1"/>
  <c r="N249" i="1"/>
  <c r="M249" i="1"/>
  <c r="K249" i="1"/>
  <c r="O248" i="1"/>
  <c r="N248" i="1"/>
  <c r="M248" i="1"/>
  <c r="K248" i="1"/>
  <c r="O247" i="1"/>
  <c r="N247" i="1"/>
  <c r="M247" i="1"/>
  <c r="K247" i="1"/>
  <c r="O246" i="1"/>
  <c r="N246" i="1"/>
  <c r="M246" i="1"/>
  <c r="K246" i="1"/>
  <c r="O245" i="1"/>
  <c r="N245" i="1"/>
  <c r="M245" i="1"/>
  <c r="K245" i="1"/>
  <c r="O244" i="1"/>
  <c r="N244" i="1"/>
  <c r="M244" i="1"/>
  <c r="K244" i="1"/>
  <c r="O243" i="1"/>
  <c r="N243" i="1"/>
  <c r="M243" i="1"/>
  <c r="K243" i="1"/>
  <c r="O242" i="1"/>
  <c r="N242" i="1"/>
  <c r="M242" i="1"/>
  <c r="K242" i="1"/>
  <c r="O241" i="1"/>
  <c r="N241" i="1"/>
  <c r="M241" i="1"/>
  <c r="K241" i="1"/>
  <c r="O240" i="1"/>
  <c r="N240" i="1"/>
  <c r="M240" i="1"/>
  <c r="K240" i="1"/>
  <c r="O239" i="1"/>
  <c r="N239" i="1"/>
  <c r="M239" i="1"/>
  <c r="K239" i="1"/>
  <c r="O238" i="1"/>
  <c r="N238" i="1"/>
  <c r="M238" i="1"/>
  <c r="K238" i="1"/>
  <c r="O237" i="1"/>
  <c r="N237" i="1"/>
  <c r="M237" i="1"/>
  <c r="K237" i="1"/>
  <c r="O236" i="1"/>
  <c r="N236" i="1"/>
  <c r="M236" i="1"/>
  <c r="K236" i="1"/>
  <c r="O235" i="1"/>
  <c r="N235" i="1"/>
  <c r="M235" i="1"/>
  <c r="K235" i="1"/>
  <c r="O234" i="1"/>
  <c r="N234" i="1"/>
  <c r="M234" i="1"/>
  <c r="K234" i="1"/>
  <c r="O233" i="1"/>
  <c r="N233" i="1"/>
  <c r="M233" i="1"/>
  <c r="K233" i="1"/>
  <c r="O232" i="1"/>
  <c r="N232" i="1"/>
  <c r="M232" i="1"/>
  <c r="K232" i="1"/>
  <c r="O231" i="1"/>
  <c r="N231" i="1"/>
  <c r="M231" i="1"/>
  <c r="K231" i="1"/>
  <c r="O230" i="1"/>
  <c r="N230" i="1"/>
  <c r="M230" i="1"/>
  <c r="K230" i="1"/>
  <c r="O229" i="1"/>
  <c r="N229" i="1"/>
  <c r="M229" i="1"/>
  <c r="K229" i="1"/>
  <c r="O228" i="1"/>
  <c r="N228" i="1"/>
  <c r="M228" i="1"/>
  <c r="K228" i="1"/>
  <c r="O227" i="1"/>
  <c r="N227" i="1"/>
  <c r="M227" i="1"/>
  <c r="K227" i="1"/>
  <c r="O226" i="1"/>
  <c r="N226" i="1"/>
  <c r="M226" i="1"/>
  <c r="K226" i="1"/>
  <c r="O225" i="1"/>
  <c r="N225" i="1"/>
  <c r="M225" i="1"/>
  <c r="K225" i="1"/>
  <c r="O224" i="1"/>
  <c r="N224" i="1"/>
  <c r="M224" i="1"/>
  <c r="K224" i="1"/>
  <c r="O223" i="1"/>
  <c r="N223" i="1"/>
  <c r="M223" i="1"/>
  <c r="K223" i="1"/>
  <c r="O222" i="1"/>
  <c r="N222" i="1"/>
  <c r="M222" i="1"/>
  <c r="K222" i="1"/>
  <c r="O221" i="1"/>
  <c r="N221" i="1"/>
  <c r="M221" i="1"/>
  <c r="K221" i="1"/>
  <c r="O220" i="1"/>
  <c r="N220" i="1"/>
  <c r="M220" i="1"/>
  <c r="K220" i="1"/>
  <c r="O219" i="1"/>
  <c r="N219" i="1"/>
  <c r="M219" i="1"/>
  <c r="K219" i="1"/>
  <c r="O218" i="1"/>
  <c r="N218" i="1"/>
  <c r="M218" i="1"/>
  <c r="K218" i="1"/>
  <c r="O217" i="1"/>
  <c r="N217" i="1"/>
  <c r="M217" i="1"/>
  <c r="K217" i="1"/>
  <c r="O216" i="1"/>
  <c r="N216" i="1"/>
  <c r="M216" i="1"/>
  <c r="K216" i="1"/>
  <c r="O215" i="1"/>
  <c r="N215" i="1"/>
  <c r="M215" i="1"/>
  <c r="K215" i="1"/>
  <c r="O214" i="1"/>
  <c r="N214" i="1"/>
  <c r="M214" i="1"/>
  <c r="K214" i="1"/>
  <c r="O213" i="1"/>
  <c r="N213" i="1"/>
  <c r="M213" i="1"/>
  <c r="K213" i="1"/>
  <c r="O212" i="1"/>
  <c r="N212" i="1"/>
  <c r="M212" i="1"/>
  <c r="K212" i="1"/>
  <c r="O211" i="1"/>
  <c r="N211" i="1"/>
  <c r="M211" i="1"/>
  <c r="K211" i="1"/>
  <c r="O210" i="1"/>
  <c r="N210" i="1"/>
  <c r="M210" i="1"/>
  <c r="K210" i="1"/>
  <c r="O209" i="1"/>
  <c r="N209" i="1"/>
  <c r="M209" i="1"/>
  <c r="K209" i="1"/>
  <c r="O208" i="1"/>
  <c r="N208" i="1"/>
  <c r="M208" i="1"/>
  <c r="K208" i="1"/>
  <c r="O207" i="1"/>
  <c r="N207" i="1"/>
  <c r="M207" i="1"/>
  <c r="K207" i="1"/>
  <c r="O206" i="1"/>
  <c r="N206" i="1"/>
  <c r="M206" i="1"/>
  <c r="K206" i="1"/>
  <c r="O205" i="1"/>
  <c r="N205" i="1"/>
  <c r="M205" i="1"/>
  <c r="K205" i="1"/>
  <c r="O204" i="1"/>
  <c r="N204" i="1"/>
  <c r="M204" i="1"/>
  <c r="K204" i="1"/>
  <c r="O203" i="1"/>
  <c r="N203" i="1"/>
  <c r="M203" i="1"/>
  <c r="K203" i="1"/>
  <c r="O202" i="1"/>
  <c r="N202" i="1"/>
  <c r="M202" i="1"/>
  <c r="K202" i="1"/>
  <c r="O201" i="1"/>
  <c r="N201" i="1"/>
  <c r="M201" i="1"/>
  <c r="K201" i="1"/>
  <c r="O200" i="1"/>
  <c r="N200" i="1"/>
  <c r="M200" i="1"/>
  <c r="K200" i="1"/>
  <c r="O199" i="1"/>
  <c r="N199" i="1"/>
  <c r="M199" i="1"/>
  <c r="K199" i="1"/>
  <c r="O198" i="1"/>
  <c r="N198" i="1"/>
  <c r="M198" i="1"/>
  <c r="K198" i="1"/>
  <c r="O197" i="1"/>
  <c r="N197" i="1"/>
  <c r="M197" i="1"/>
  <c r="K197" i="1"/>
  <c r="O196" i="1"/>
  <c r="N196" i="1"/>
  <c r="M196" i="1"/>
  <c r="K196" i="1"/>
  <c r="O195" i="1"/>
  <c r="N195" i="1"/>
  <c r="M195" i="1"/>
  <c r="K195" i="1"/>
  <c r="O194" i="1"/>
  <c r="N194" i="1"/>
  <c r="M194" i="1"/>
  <c r="K194" i="1"/>
  <c r="O193" i="1"/>
  <c r="N193" i="1"/>
  <c r="M193" i="1"/>
  <c r="K193" i="1"/>
  <c r="O192" i="1"/>
  <c r="N192" i="1"/>
  <c r="M192" i="1"/>
  <c r="K192" i="1"/>
  <c r="O191" i="1"/>
  <c r="N191" i="1"/>
  <c r="M191" i="1"/>
  <c r="K191" i="1"/>
  <c r="O190" i="1"/>
  <c r="N190" i="1"/>
  <c r="M190" i="1"/>
  <c r="K190" i="1"/>
  <c r="O189" i="1"/>
  <c r="N189" i="1"/>
  <c r="M189" i="1"/>
  <c r="K189" i="1"/>
  <c r="O188" i="1"/>
  <c r="N188" i="1"/>
  <c r="M188" i="1"/>
  <c r="K188" i="1"/>
  <c r="O187" i="1"/>
  <c r="N187" i="1"/>
  <c r="M187" i="1"/>
  <c r="K187" i="1"/>
  <c r="O186" i="1"/>
  <c r="N186" i="1"/>
  <c r="M186" i="1"/>
  <c r="K186" i="1"/>
  <c r="O185" i="1"/>
  <c r="N185" i="1"/>
  <c r="M185" i="1"/>
  <c r="K185" i="1"/>
  <c r="O184" i="1"/>
  <c r="N184" i="1"/>
  <c r="M184" i="1"/>
  <c r="K184" i="1"/>
  <c r="O183" i="1"/>
  <c r="N183" i="1"/>
  <c r="M183" i="1"/>
  <c r="K183" i="1"/>
  <c r="O182" i="1"/>
  <c r="N182" i="1"/>
  <c r="M182" i="1"/>
  <c r="K182" i="1"/>
  <c r="O181" i="1"/>
  <c r="N181" i="1"/>
  <c r="M181" i="1"/>
  <c r="K181" i="1"/>
  <c r="O180" i="1"/>
  <c r="N180" i="1"/>
  <c r="M180" i="1"/>
  <c r="K180" i="1"/>
  <c r="O179" i="1"/>
  <c r="N179" i="1"/>
  <c r="M179" i="1"/>
  <c r="K179" i="1"/>
  <c r="O178" i="1"/>
  <c r="N178" i="1"/>
  <c r="M178" i="1"/>
  <c r="K178" i="1"/>
  <c r="O177" i="1"/>
  <c r="N177" i="1"/>
  <c r="M177" i="1"/>
  <c r="K177" i="1"/>
  <c r="O176" i="1"/>
  <c r="N176" i="1"/>
  <c r="M176" i="1"/>
  <c r="K176" i="1"/>
  <c r="O175" i="1"/>
  <c r="N175" i="1"/>
  <c r="M175" i="1"/>
  <c r="K175" i="1"/>
  <c r="O174" i="1"/>
  <c r="N174" i="1"/>
  <c r="M174" i="1"/>
  <c r="K174" i="1"/>
  <c r="O173" i="1"/>
  <c r="N173" i="1"/>
  <c r="M173" i="1"/>
  <c r="K173" i="1"/>
  <c r="O172" i="1"/>
  <c r="N172" i="1"/>
  <c r="M172" i="1"/>
  <c r="K172" i="1"/>
  <c r="O171" i="1"/>
  <c r="N171" i="1"/>
  <c r="M171" i="1"/>
  <c r="K171" i="1"/>
  <c r="O170" i="1"/>
  <c r="N170" i="1"/>
  <c r="M170" i="1"/>
  <c r="K170" i="1"/>
  <c r="O169" i="1"/>
  <c r="N169" i="1"/>
  <c r="M169" i="1"/>
  <c r="K169" i="1"/>
  <c r="O168" i="1"/>
  <c r="N168" i="1"/>
  <c r="M168" i="1"/>
  <c r="K168" i="1"/>
  <c r="O167" i="1"/>
  <c r="N167" i="1"/>
  <c r="M167" i="1"/>
  <c r="K167" i="1"/>
  <c r="O166" i="1"/>
  <c r="N166" i="1"/>
  <c r="M166" i="1"/>
  <c r="K166" i="1"/>
  <c r="O165" i="1"/>
  <c r="N165" i="1"/>
  <c r="M165" i="1"/>
  <c r="K165" i="1"/>
  <c r="O164" i="1"/>
  <c r="N164" i="1"/>
  <c r="M164" i="1"/>
  <c r="K164" i="1"/>
  <c r="O163" i="1"/>
  <c r="N163" i="1"/>
  <c r="M163" i="1"/>
  <c r="K163" i="1"/>
  <c r="O162" i="1"/>
  <c r="N162" i="1"/>
  <c r="M162" i="1"/>
  <c r="K162" i="1"/>
  <c r="O161" i="1"/>
  <c r="N161" i="1"/>
  <c r="M161" i="1"/>
  <c r="K161" i="1"/>
  <c r="O160" i="1"/>
  <c r="N160" i="1"/>
  <c r="M160" i="1"/>
  <c r="K160" i="1"/>
  <c r="O159" i="1"/>
  <c r="N159" i="1"/>
  <c r="M159" i="1"/>
  <c r="K159" i="1"/>
  <c r="O158" i="1"/>
  <c r="N158" i="1"/>
  <c r="M158" i="1"/>
  <c r="K158" i="1"/>
  <c r="O157" i="1"/>
  <c r="N157" i="1"/>
  <c r="M157" i="1"/>
  <c r="K157" i="1"/>
  <c r="O156" i="1"/>
  <c r="N156" i="1"/>
  <c r="M156" i="1"/>
  <c r="K156" i="1"/>
  <c r="O155" i="1"/>
  <c r="N155" i="1"/>
  <c r="M155" i="1"/>
  <c r="K155" i="1"/>
  <c r="O154" i="1"/>
  <c r="N154" i="1"/>
  <c r="M154" i="1"/>
  <c r="K154" i="1"/>
  <c r="O153" i="1"/>
  <c r="N153" i="1"/>
  <c r="M153" i="1"/>
  <c r="K153" i="1"/>
  <c r="O152" i="1"/>
  <c r="N152" i="1"/>
  <c r="M152" i="1"/>
  <c r="K152" i="1"/>
  <c r="O151" i="1"/>
  <c r="N151" i="1"/>
  <c r="M151" i="1"/>
  <c r="K151" i="1"/>
  <c r="O150" i="1"/>
  <c r="N150" i="1"/>
  <c r="M150" i="1"/>
  <c r="K150" i="1"/>
  <c r="O149" i="1"/>
  <c r="N149" i="1"/>
  <c r="M149" i="1"/>
  <c r="K149" i="1"/>
  <c r="O148" i="1"/>
  <c r="N148" i="1"/>
  <c r="M148" i="1"/>
  <c r="K148" i="1"/>
  <c r="O147" i="1"/>
  <c r="N147" i="1"/>
  <c r="M147" i="1"/>
  <c r="K147" i="1"/>
  <c r="O146" i="1"/>
  <c r="N146" i="1"/>
  <c r="M146" i="1"/>
  <c r="K146" i="1"/>
  <c r="O145" i="1"/>
  <c r="N145" i="1"/>
  <c r="M145" i="1"/>
  <c r="K145" i="1"/>
  <c r="O144" i="1"/>
  <c r="N144" i="1"/>
  <c r="M144" i="1"/>
  <c r="K144" i="1"/>
  <c r="O143" i="1"/>
  <c r="N143" i="1"/>
  <c r="M143" i="1"/>
  <c r="K143" i="1"/>
  <c r="O142" i="1"/>
  <c r="N142" i="1"/>
  <c r="M142" i="1"/>
  <c r="K142" i="1"/>
  <c r="O141" i="1"/>
  <c r="N141" i="1"/>
  <c r="M141" i="1"/>
  <c r="K141" i="1"/>
  <c r="O140" i="1"/>
  <c r="N140" i="1"/>
  <c r="M140" i="1"/>
  <c r="K140" i="1"/>
  <c r="O139" i="1"/>
  <c r="N139" i="1"/>
  <c r="M139" i="1"/>
  <c r="K139" i="1"/>
  <c r="O138" i="1"/>
  <c r="N138" i="1"/>
  <c r="M138" i="1"/>
  <c r="K138" i="1"/>
  <c r="O137" i="1"/>
  <c r="N137" i="1"/>
  <c r="M137" i="1"/>
  <c r="K137" i="1"/>
  <c r="O136" i="1"/>
  <c r="N136" i="1"/>
  <c r="M136" i="1"/>
  <c r="K136" i="1"/>
  <c r="O135" i="1"/>
  <c r="N135" i="1"/>
  <c r="M135" i="1"/>
  <c r="K135" i="1"/>
  <c r="O134" i="1"/>
  <c r="N134" i="1"/>
  <c r="M134" i="1"/>
  <c r="K134" i="1"/>
  <c r="O133" i="1"/>
  <c r="N133" i="1"/>
  <c r="M133" i="1"/>
  <c r="K133" i="1"/>
  <c r="O132" i="1"/>
  <c r="N132" i="1"/>
  <c r="M132" i="1"/>
  <c r="K132" i="1"/>
  <c r="O131" i="1"/>
  <c r="N131" i="1"/>
  <c r="M131" i="1"/>
  <c r="K131" i="1"/>
  <c r="O130" i="1"/>
  <c r="N130" i="1"/>
  <c r="M130" i="1"/>
  <c r="K130" i="1"/>
  <c r="O129" i="1"/>
  <c r="N129" i="1"/>
  <c r="M129" i="1"/>
  <c r="K129" i="1"/>
  <c r="O128" i="1"/>
  <c r="N128" i="1"/>
  <c r="M128" i="1"/>
  <c r="K128" i="1"/>
  <c r="O127" i="1"/>
  <c r="N127" i="1"/>
  <c r="M127" i="1"/>
  <c r="K127" i="1"/>
  <c r="O126" i="1"/>
  <c r="N126" i="1"/>
  <c r="M126" i="1"/>
  <c r="K126" i="1"/>
  <c r="O125" i="1"/>
  <c r="N125" i="1"/>
  <c r="M125" i="1"/>
  <c r="K125" i="1"/>
  <c r="O124" i="1"/>
  <c r="N124" i="1"/>
  <c r="M124" i="1"/>
  <c r="K124" i="1"/>
  <c r="O123" i="1"/>
  <c r="N123" i="1"/>
  <c r="M123" i="1"/>
  <c r="K123" i="1"/>
  <c r="O122" i="1"/>
  <c r="N122" i="1"/>
  <c r="M122" i="1"/>
  <c r="K122" i="1"/>
  <c r="O121" i="1"/>
  <c r="N121" i="1"/>
  <c r="M121" i="1"/>
  <c r="K121" i="1"/>
  <c r="O120" i="1"/>
  <c r="N120" i="1"/>
  <c r="M120" i="1"/>
  <c r="K120" i="1"/>
  <c r="O119" i="1"/>
  <c r="N119" i="1"/>
  <c r="M119" i="1"/>
  <c r="K119" i="1"/>
  <c r="O118" i="1"/>
  <c r="N118" i="1"/>
  <c r="M118" i="1"/>
  <c r="K118" i="1"/>
  <c r="O117" i="1"/>
  <c r="N117" i="1"/>
  <c r="M117" i="1"/>
  <c r="K117" i="1"/>
  <c r="O116" i="1"/>
  <c r="N116" i="1"/>
  <c r="M116" i="1"/>
  <c r="K116" i="1"/>
  <c r="O115" i="1"/>
  <c r="N115" i="1"/>
  <c r="M115" i="1"/>
  <c r="K115" i="1"/>
  <c r="O114" i="1"/>
  <c r="N114" i="1"/>
  <c r="M114" i="1"/>
  <c r="K114" i="1"/>
  <c r="O113" i="1"/>
  <c r="N113" i="1"/>
  <c r="M113" i="1"/>
  <c r="K113" i="1"/>
  <c r="O112" i="1"/>
  <c r="N112" i="1"/>
  <c r="M112" i="1"/>
  <c r="K112" i="1"/>
  <c r="O111" i="1"/>
  <c r="N111" i="1"/>
  <c r="M111" i="1"/>
  <c r="K111" i="1"/>
  <c r="O110" i="1"/>
  <c r="N110" i="1"/>
  <c r="M110" i="1"/>
  <c r="K110" i="1"/>
  <c r="O109" i="1"/>
  <c r="N109" i="1"/>
  <c r="M109" i="1"/>
  <c r="K109" i="1"/>
  <c r="O108" i="1"/>
  <c r="N108" i="1"/>
  <c r="M108" i="1"/>
  <c r="K108" i="1"/>
  <c r="O107" i="1"/>
  <c r="N107" i="1"/>
  <c r="M107" i="1"/>
  <c r="K107" i="1"/>
  <c r="O106" i="1"/>
  <c r="N106" i="1"/>
  <c r="M106" i="1"/>
  <c r="K106" i="1"/>
  <c r="O105" i="1"/>
  <c r="N105" i="1"/>
  <c r="M105" i="1"/>
  <c r="K105" i="1"/>
  <c r="O104" i="1"/>
  <c r="N104" i="1"/>
  <c r="M104" i="1"/>
  <c r="K104" i="1"/>
  <c r="O103" i="1"/>
  <c r="N103" i="1"/>
  <c r="M103" i="1"/>
  <c r="K103" i="1"/>
  <c r="O102" i="1"/>
  <c r="N102" i="1"/>
  <c r="M102" i="1"/>
  <c r="K102" i="1"/>
  <c r="O101" i="1"/>
  <c r="N101" i="1"/>
  <c r="M101" i="1"/>
  <c r="K101" i="1"/>
  <c r="O100" i="1"/>
  <c r="N100" i="1"/>
  <c r="M100" i="1"/>
  <c r="K100" i="1"/>
  <c r="O99" i="1"/>
  <c r="N99" i="1"/>
  <c r="M99" i="1"/>
  <c r="K99" i="1"/>
  <c r="O98" i="1"/>
  <c r="N98" i="1"/>
  <c r="M98" i="1"/>
  <c r="K98" i="1"/>
  <c r="O97" i="1"/>
  <c r="N97" i="1"/>
  <c r="M97" i="1"/>
  <c r="K97" i="1"/>
  <c r="O96" i="1"/>
  <c r="N96" i="1"/>
  <c r="M96" i="1"/>
  <c r="K96" i="1"/>
  <c r="O95" i="1"/>
  <c r="N95" i="1"/>
  <c r="M95" i="1"/>
  <c r="K95" i="1"/>
  <c r="O94" i="1"/>
  <c r="N94" i="1"/>
  <c r="M94" i="1"/>
  <c r="K94" i="1"/>
  <c r="O93" i="1"/>
  <c r="N93" i="1"/>
  <c r="M93" i="1"/>
  <c r="K93" i="1"/>
  <c r="O92" i="1"/>
  <c r="N92" i="1"/>
  <c r="M92" i="1"/>
  <c r="K92" i="1"/>
  <c r="O91" i="1"/>
  <c r="N91" i="1"/>
  <c r="M91" i="1"/>
  <c r="K91" i="1"/>
  <c r="O90" i="1"/>
  <c r="N90" i="1"/>
  <c r="M90" i="1"/>
  <c r="K90" i="1"/>
  <c r="O89" i="1"/>
  <c r="N89" i="1"/>
  <c r="M89" i="1"/>
  <c r="K89" i="1"/>
  <c r="O88" i="1"/>
  <c r="N88" i="1"/>
  <c r="M88" i="1"/>
  <c r="K88" i="1"/>
  <c r="O87" i="1"/>
  <c r="N87" i="1"/>
  <c r="M87" i="1"/>
  <c r="K87" i="1"/>
  <c r="O86" i="1"/>
  <c r="N86" i="1"/>
  <c r="M86" i="1"/>
  <c r="K86" i="1"/>
  <c r="O85" i="1"/>
  <c r="N85" i="1"/>
  <c r="M85" i="1"/>
  <c r="K85" i="1"/>
  <c r="O84" i="1"/>
  <c r="N84" i="1"/>
  <c r="M84" i="1"/>
  <c r="K84" i="1"/>
  <c r="O83" i="1"/>
  <c r="N83" i="1"/>
  <c r="M83" i="1"/>
  <c r="K83" i="1"/>
  <c r="O82" i="1"/>
  <c r="N82" i="1"/>
  <c r="M82" i="1"/>
  <c r="K82" i="1"/>
  <c r="O81" i="1"/>
  <c r="N81" i="1"/>
  <c r="M81" i="1"/>
  <c r="K81" i="1"/>
  <c r="O80" i="1"/>
  <c r="N80" i="1"/>
  <c r="M80" i="1"/>
  <c r="K80" i="1"/>
  <c r="O79" i="1"/>
  <c r="N79" i="1"/>
  <c r="M79" i="1"/>
  <c r="K79" i="1"/>
  <c r="O78" i="1"/>
  <c r="N78" i="1"/>
  <c r="M78" i="1"/>
  <c r="K78" i="1"/>
  <c r="O77" i="1"/>
  <c r="N77" i="1"/>
  <c r="M77" i="1"/>
  <c r="K77" i="1"/>
  <c r="O76" i="1"/>
  <c r="N76" i="1"/>
  <c r="M76" i="1"/>
  <c r="K76" i="1"/>
  <c r="O75" i="1"/>
  <c r="N75" i="1"/>
  <c r="M75" i="1"/>
  <c r="K75" i="1"/>
  <c r="O74" i="1"/>
  <c r="N74" i="1"/>
  <c r="M74" i="1"/>
  <c r="K74" i="1"/>
  <c r="O73" i="1"/>
  <c r="N73" i="1"/>
  <c r="M73" i="1"/>
  <c r="K73" i="1"/>
  <c r="O72" i="1"/>
  <c r="N72" i="1"/>
  <c r="M72" i="1"/>
  <c r="K72" i="1"/>
  <c r="O71" i="1"/>
  <c r="N71" i="1"/>
  <c r="M71" i="1"/>
  <c r="K71" i="1"/>
  <c r="O70" i="1"/>
  <c r="N70" i="1"/>
  <c r="M70" i="1"/>
  <c r="K70" i="1"/>
  <c r="O69" i="1"/>
  <c r="N69" i="1"/>
  <c r="M69" i="1"/>
  <c r="K69" i="1"/>
  <c r="O68" i="1"/>
  <c r="N68" i="1"/>
  <c r="M68" i="1"/>
  <c r="K68" i="1"/>
  <c r="O67" i="1"/>
  <c r="N67" i="1"/>
  <c r="M67" i="1"/>
  <c r="K67" i="1"/>
  <c r="O66" i="1"/>
  <c r="N66" i="1"/>
  <c r="M66" i="1"/>
  <c r="K66" i="1"/>
  <c r="O65" i="1"/>
  <c r="N65" i="1"/>
  <c r="M65" i="1"/>
  <c r="K65" i="1"/>
  <c r="O64" i="1"/>
  <c r="N64" i="1"/>
  <c r="M64" i="1"/>
  <c r="K64" i="1"/>
  <c r="O63" i="1"/>
  <c r="N63" i="1"/>
  <c r="M63" i="1"/>
  <c r="K63" i="1"/>
  <c r="O62" i="1"/>
  <c r="N62" i="1"/>
  <c r="M62" i="1"/>
  <c r="K62" i="1"/>
  <c r="O61" i="1"/>
  <c r="N61" i="1"/>
  <c r="M61" i="1"/>
  <c r="K61" i="1"/>
  <c r="O60" i="1"/>
  <c r="N60" i="1"/>
  <c r="M60" i="1"/>
  <c r="K60" i="1"/>
  <c r="O59" i="1"/>
  <c r="N59" i="1"/>
  <c r="M59" i="1"/>
  <c r="K59" i="1"/>
  <c r="O58" i="1"/>
  <c r="N58" i="1"/>
  <c r="M58" i="1"/>
  <c r="K58" i="1"/>
  <c r="O57" i="1"/>
  <c r="N57" i="1"/>
  <c r="M57" i="1"/>
  <c r="K57" i="1"/>
  <c r="O56" i="1"/>
  <c r="N56" i="1"/>
  <c r="M56" i="1"/>
  <c r="K56" i="1"/>
  <c r="O55" i="1"/>
  <c r="N55" i="1"/>
  <c r="M55" i="1"/>
  <c r="K55" i="1"/>
  <c r="O54" i="1"/>
  <c r="N54" i="1"/>
  <c r="M54" i="1"/>
  <c r="K54" i="1"/>
  <c r="O53" i="1"/>
  <c r="N53" i="1"/>
  <c r="M53" i="1"/>
  <c r="K53" i="1"/>
  <c r="O52" i="1"/>
  <c r="N52" i="1"/>
  <c r="M52" i="1"/>
  <c r="K52" i="1"/>
  <c r="O51" i="1"/>
  <c r="N51" i="1"/>
  <c r="M51" i="1"/>
  <c r="K51" i="1"/>
  <c r="O50" i="1"/>
  <c r="N50" i="1"/>
  <c r="M50" i="1"/>
  <c r="K50" i="1"/>
  <c r="O49" i="1"/>
  <c r="N49" i="1"/>
  <c r="M49" i="1"/>
  <c r="K49" i="1"/>
  <c r="O48" i="1"/>
  <c r="N48" i="1"/>
  <c r="M48" i="1"/>
  <c r="K48" i="1"/>
  <c r="O47" i="1"/>
  <c r="N47" i="1"/>
  <c r="M47" i="1"/>
  <c r="K47" i="1"/>
  <c r="O46" i="1"/>
  <c r="N46" i="1"/>
  <c r="M46" i="1"/>
  <c r="K46" i="1"/>
  <c r="O45" i="1"/>
  <c r="N45" i="1"/>
  <c r="M45" i="1"/>
  <c r="K45" i="1"/>
  <c r="O44" i="1"/>
  <c r="N44" i="1"/>
  <c r="M44" i="1"/>
  <c r="K44" i="1"/>
  <c r="O43" i="1"/>
  <c r="N43" i="1"/>
  <c r="M43" i="1"/>
  <c r="K43" i="1"/>
  <c r="O42" i="1"/>
  <c r="N42" i="1"/>
  <c r="M42" i="1"/>
  <c r="K42" i="1"/>
  <c r="O41" i="1"/>
  <c r="N41" i="1"/>
  <c r="M41" i="1"/>
  <c r="K41" i="1"/>
  <c r="O40" i="1"/>
  <c r="N40" i="1"/>
  <c r="M40" i="1"/>
  <c r="K40" i="1"/>
  <c r="O39" i="1"/>
  <c r="N39" i="1"/>
  <c r="M39" i="1"/>
  <c r="K39" i="1"/>
  <c r="O38" i="1"/>
  <c r="N38" i="1"/>
  <c r="M38" i="1"/>
  <c r="K38" i="1"/>
  <c r="O37" i="1"/>
  <c r="N37" i="1"/>
  <c r="M37" i="1"/>
  <c r="K37" i="1"/>
  <c r="O36" i="1"/>
  <c r="N36" i="1"/>
  <c r="M36" i="1"/>
  <c r="K36" i="1"/>
  <c r="O35" i="1"/>
  <c r="N35" i="1"/>
  <c r="M35" i="1"/>
  <c r="K35" i="1"/>
  <c r="O34" i="1"/>
  <c r="N34" i="1"/>
  <c r="M34" i="1"/>
  <c r="K34" i="1"/>
  <c r="O33" i="1"/>
  <c r="N33" i="1"/>
  <c r="M33" i="1"/>
  <c r="K33" i="1"/>
  <c r="O32" i="1"/>
  <c r="N32" i="1"/>
  <c r="M32" i="1"/>
  <c r="K32" i="1"/>
  <c r="O31" i="1"/>
  <c r="N31" i="1"/>
  <c r="M31" i="1"/>
  <c r="K31" i="1"/>
  <c r="O30" i="1"/>
  <c r="N30" i="1"/>
  <c r="M30" i="1"/>
  <c r="K30" i="1"/>
  <c r="O29" i="1"/>
  <c r="N29" i="1"/>
  <c r="M29" i="1"/>
  <c r="K29" i="1"/>
  <c r="O28" i="1"/>
  <c r="N28" i="1"/>
  <c r="M28" i="1"/>
  <c r="K28" i="1"/>
  <c r="O27" i="1"/>
  <c r="N27" i="1"/>
  <c r="M27" i="1"/>
  <c r="K27" i="1"/>
  <c r="O26" i="1"/>
  <c r="N26" i="1"/>
  <c r="M26" i="1"/>
  <c r="K26" i="1"/>
  <c r="O25" i="1"/>
  <c r="N25" i="1"/>
  <c r="M25" i="1"/>
  <c r="K25" i="1"/>
  <c r="O24" i="1"/>
  <c r="N24" i="1"/>
  <c r="M24" i="1"/>
  <c r="K24" i="1"/>
  <c r="O23" i="1"/>
  <c r="N23" i="1"/>
  <c r="M23" i="1"/>
  <c r="K23" i="1"/>
  <c r="O22" i="1"/>
  <c r="N22" i="1"/>
  <c r="M22" i="1"/>
  <c r="K22" i="1"/>
  <c r="O21" i="1"/>
  <c r="N21" i="1"/>
  <c r="M21" i="1"/>
  <c r="K21" i="1"/>
  <c r="O20" i="1"/>
  <c r="N20" i="1"/>
  <c r="M20" i="1"/>
  <c r="K20" i="1"/>
  <c r="O19" i="1"/>
  <c r="N19" i="1"/>
  <c r="M19" i="1"/>
  <c r="K19" i="1"/>
  <c r="O18" i="1"/>
  <c r="N18" i="1"/>
  <c r="M18" i="1"/>
  <c r="K18" i="1"/>
  <c r="O17" i="1"/>
  <c r="N17" i="1"/>
  <c r="M17" i="1"/>
  <c r="K17" i="1"/>
  <c r="O16" i="1"/>
  <c r="N16" i="1"/>
  <c r="M16" i="1"/>
  <c r="K16" i="1"/>
  <c r="O15" i="1"/>
  <c r="N15" i="1"/>
  <c r="M15" i="1"/>
  <c r="K15" i="1"/>
  <c r="O14" i="1"/>
  <c r="N14" i="1"/>
  <c r="M14" i="1"/>
  <c r="K14" i="1"/>
  <c r="O13" i="1"/>
  <c r="N13" i="1"/>
  <c r="M13" i="1"/>
  <c r="K13" i="1"/>
  <c r="O12" i="1"/>
  <c r="N12" i="1"/>
  <c r="M12" i="1"/>
  <c r="K12" i="1"/>
  <c r="O11" i="1"/>
  <c r="N11" i="1"/>
  <c r="M11" i="1"/>
  <c r="K11" i="1"/>
  <c r="O10" i="1"/>
  <c r="N10" i="1"/>
  <c r="M10" i="1"/>
  <c r="K10" i="1"/>
  <c r="O9" i="1"/>
  <c r="N9" i="1"/>
  <c r="M9" i="1"/>
  <c r="K9" i="1"/>
  <c r="O8" i="1"/>
  <c r="N8" i="1"/>
  <c r="M8" i="1"/>
  <c r="K8" i="1"/>
  <c r="O7" i="1"/>
  <c r="N7" i="1"/>
  <c r="M7" i="1"/>
  <c r="K7" i="1"/>
  <c r="O6" i="1"/>
  <c r="N6" i="1"/>
  <c r="M6" i="1"/>
  <c r="K6" i="1"/>
  <c r="O5" i="1"/>
  <c r="N5" i="1"/>
  <c r="M5" i="1"/>
  <c r="K5" i="1"/>
  <c r="O4" i="1"/>
  <c r="N4" i="1"/>
  <c r="M4" i="1"/>
  <c r="K4" i="1"/>
  <c r="O3" i="1"/>
  <c r="N3" i="1"/>
  <c r="M3" i="1"/>
  <c r="K3" i="1"/>
  <c r="O2" i="1"/>
  <c r="N2" i="1"/>
  <c r="M2" i="1"/>
  <c r="K2" i="1"/>
  <c r="C2" i="2" l="1"/>
  <c r="E87" i="4"/>
  <c r="C247" i="4"/>
  <c r="D247" i="4"/>
  <c r="D195" i="4"/>
  <c r="F41" i="2"/>
  <c r="D87" i="4"/>
  <c r="E430" i="4"/>
  <c r="C46" i="4"/>
  <c r="E514" i="4"/>
  <c r="C529" i="4"/>
  <c r="F54" i="2"/>
  <c r="E151" i="4"/>
  <c r="E409" i="4"/>
  <c r="E594" i="4"/>
  <c r="E625" i="4"/>
  <c r="D83" i="4"/>
  <c r="E182" i="4"/>
  <c r="D243" i="4"/>
  <c r="D426" i="4"/>
  <c r="E569" i="4"/>
  <c r="E650" i="4"/>
  <c r="E99" i="4"/>
  <c r="E227" i="4"/>
  <c r="C319" i="4"/>
  <c r="E426" i="4"/>
  <c r="C270" i="4"/>
  <c r="E307" i="4"/>
  <c r="D270" i="4"/>
  <c r="C377" i="4"/>
  <c r="E243" i="4"/>
  <c r="D182" i="4"/>
  <c r="C569" i="4"/>
  <c r="C581" i="4"/>
  <c r="D133" i="4"/>
  <c r="D465" i="4"/>
  <c r="D46" i="4"/>
  <c r="D151" i="4"/>
  <c r="E251" i="4"/>
  <c r="D594" i="4"/>
  <c r="D6" i="2"/>
  <c r="D20" i="2"/>
  <c r="D158" i="4"/>
  <c r="E158" i="4"/>
  <c r="C158" i="4"/>
  <c r="E271" i="4"/>
  <c r="D271" i="4"/>
  <c r="C271" i="4"/>
  <c r="D315" i="4"/>
  <c r="D403" i="4"/>
  <c r="C416" i="4"/>
  <c r="E20" i="2"/>
  <c r="D295" i="4"/>
  <c r="C302" i="4"/>
  <c r="D436" i="4"/>
  <c r="D557" i="4"/>
  <c r="E557" i="4"/>
  <c r="C630" i="4"/>
  <c r="E661" i="4"/>
  <c r="D661" i="4"/>
  <c r="C83" i="4"/>
  <c r="E139" i="4"/>
  <c r="C303" i="4"/>
  <c r="E303" i="4"/>
  <c r="D468" i="4"/>
  <c r="C468" i="4"/>
  <c r="D514" i="4"/>
  <c r="D625" i="4"/>
  <c r="D385" i="4"/>
  <c r="C385" i="4"/>
  <c r="D57" i="4"/>
  <c r="D79" i="4"/>
  <c r="D199" i="4"/>
  <c r="E199" i="4"/>
  <c r="C199" i="4"/>
  <c r="D371" i="4"/>
  <c r="C621" i="4"/>
  <c r="E626" i="4"/>
  <c r="D626" i="4"/>
  <c r="D54" i="2"/>
  <c r="E66" i="4"/>
  <c r="D66" i="4"/>
  <c r="E79" i="4"/>
  <c r="E90" i="4"/>
  <c r="D90" i="4"/>
  <c r="C90" i="4"/>
  <c r="C135" i="4"/>
  <c r="E135" i="4"/>
  <c r="D135" i="4"/>
  <c r="D456" i="4"/>
  <c r="C456" i="4"/>
  <c r="C502" i="4"/>
  <c r="D510" i="4"/>
  <c r="E510" i="4"/>
  <c r="D586" i="4"/>
  <c r="E621" i="4"/>
  <c r="E210" i="4"/>
  <c r="D210" i="4"/>
  <c r="D450" i="4"/>
  <c r="E450" i="4"/>
  <c r="C450" i="4"/>
  <c r="D239" i="4"/>
  <c r="C263" i="4"/>
  <c r="D298" i="4"/>
  <c r="C338" i="4"/>
  <c r="C434" i="4"/>
  <c r="C438" i="4"/>
  <c r="C505" i="4"/>
  <c r="C538" i="4"/>
  <c r="D2" i="2"/>
  <c r="D103" i="4"/>
  <c r="D109" i="4"/>
  <c r="E131" i="4"/>
  <c r="D141" i="4"/>
  <c r="D153" i="4"/>
  <c r="C165" i="4"/>
  <c r="E206" i="4"/>
  <c r="D226" i="4"/>
  <c r="D263" i="4"/>
  <c r="C294" i="4"/>
  <c r="E311" i="4"/>
  <c r="E345" i="4"/>
  <c r="C380" i="4"/>
  <c r="E386" i="4"/>
  <c r="C430" i="4"/>
  <c r="D434" i="4"/>
  <c r="D438" i="4"/>
  <c r="D500" i="4"/>
  <c r="E505" i="4"/>
  <c r="D538" i="4"/>
  <c r="C618" i="4"/>
  <c r="C650" i="4"/>
  <c r="E62" i="4"/>
  <c r="E103" i="4"/>
  <c r="C195" i="4"/>
  <c r="D251" i="4"/>
  <c r="C465" i="4"/>
  <c r="C512" i="4"/>
  <c r="C179" i="4"/>
  <c r="C191" i="4"/>
  <c r="C266" i="4"/>
  <c r="E266" i="4"/>
  <c r="C497" i="4"/>
  <c r="E522" i="4"/>
  <c r="C522" i="4"/>
  <c r="D532" i="4"/>
  <c r="C582" i="4"/>
  <c r="E582" i="4"/>
  <c r="C211" i="4"/>
  <c r="C306" i="4"/>
  <c r="C310" i="4"/>
  <c r="C314" i="4"/>
  <c r="C323" i="4"/>
  <c r="D335" i="4"/>
  <c r="C339" i="4"/>
  <c r="D356" i="4"/>
  <c r="E388" i="4"/>
  <c r="D388" i="4"/>
  <c r="D394" i="4"/>
  <c r="C394" i="4"/>
  <c r="D473" i="4"/>
  <c r="E497" i="4"/>
  <c r="C562" i="4"/>
  <c r="D566" i="4"/>
  <c r="D578" i="4"/>
  <c r="E578" i="4"/>
  <c r="D582" i="4"/>
  <c r="E14" i="2"/>
  <c r="F14" i="2"/>
  <c r="C175" i="4"/>
  <c r="D191" i="4"/>
  <c r="C46" i="2"/>
  <c r="D653" i="4"/>
  <c r="C653" i="4"/>
  <c r="C162" i="4"/>
  <c r="D167" i="4"/>
  <c r="C77" i="4"/>
  <c r="D126" i="4"/>
  <c r="C143" i="4"/>
  <c r="E155" i="4"/>
  <c r="D159" i="4"/>
  <c r="E175" i="4"/>
  <c r="C231" i="4"/>
  <c r="C242" i="4"/>
  <c r="C255" i="4"/>
  <c r="C259" i="4"/>
  <c r="D278" i="4"/>
  <c r="D319" i="4"/>
  <c r="E323" i="4"/>
  <c r="E339" i="4"/>
  <c r="E357" i="4"/>
  <c r="E371" i="4"/>
  <c r="D377" i="4"/>
  <c r="E429" i="4"/>
  <c r="D433" i="4"/>
  <c r="C441" i="4"/>
  <c r="C446" i="4"/>
  <c r="C474" i="4"/>
  <c r="E493" i="4"/>
  <c r="C498" i="4"/>
  <c r="D502" i="4"/>
  <c r="C518" i="4"/>
  <c r="D529" i="4"/>
  <c r="C552" i="4"/>
  <c r="E562" i="4"/>
  <c r="C602" i="4"/>
  <c r="E614" i="4"/>
  <c r="D618" i="4"/>
  <c r="E653" i="4"/>
  <c r="E666" i="4"/>
  <c r="F31" i="2"/>
  <c r="C38" i="2"/>
  <c r="C42" i="2"/>
  <c r="D46" i="2"/>
  <c r="C52" i="2"/>
  <c r="E7" i="4"/>
  <c r="D38" i="4"/>
  <c r="D43" i="4"/>
  <c r="E59" i="4"/>
  <c r="E6" i="2"/>
  <c r="C6" i="2"/>
  <c r="D10" i="2"/>
  <c r="D38" i="2"/>
  <c r="F46" i="2"/>
  <c r="D52" i="2"/>
  <c r="C26" i="4"/>
  <c r="E26" i="4"/>
  <c r="C121" i="4"/>
  <c r="E126" i="4"/>
  <c r="C131" i="4"/>
  <c r="D139" i="4"/>
  <c r="D143" i="4"/>
  <c r="E159" i="4"/>
  <c r="D171" i="4"/>
  <c r="E171" i="4"/>
  <c r="D227" i="4"/>
  <c r="D231" i="4"/>
  <c r="D242" i="4"/>
  <c r="D255" i="4"/>
  <c r="D259" i="4"/>
  <c r="C307" i="4"/>
  <c r="D311" i="4"/>
  <c r="C315" i="4"/>
  <c r="C353" i="4"/>
  <c r="D353" i="4"/>
  <c r="D409" i="4"/>
  <c r="E441" i="4"/>
  <c r="D446" i="4"/>
  <c r="D474" i="4"/>
  <c r="D498" i="4"/>
  <c r="D518" i="4"/>
  <c r="E525" i="4"/>
  <c r="E574" i="4"/>
  <c r="C574" i="4"/>
  <c r="E590" i="4"/>
  <c r="D602" i="4"/>
  <c r="E657" i="4"/>
  <c r="D657" i="4"/>
  <c r="D10" i="4"/>
  <c r="E94" i="4"/>
  <c r="C94" i="4"/>
  <c r="E23" i="4"/>
  <c r="D29" i="4"/>
  <c r="C53" i="4"/>
  <c r="D147" i="4"/>
  <c r="C155" i="4"/>
  <c r="D162" i="4"/>
  <c r="D14" i="2"/>
  <c r="C59" i="4"/>
  <c r="D69" i="4"/>
  <c r="C203" i="4"/>
  <c r="E203" i="4"/>
  <c r="E335" i="4"/>
  <c r="E566" i="4"/>
  <c r="F38" i="2"/>
  <c r="E52" i="2"/>
  <c r="E14" i="4"/>
  <c r="C14" i="4"/>
  <c r="D488" i="4"/>
  <c r="C488" i="4"/>
  <c r="C564" i="4"/>
  <c r="D564" i="4"/>
  <c r="E49" i="2"/>
  <c r="F49" i="2"/>
  <c r="D461" i="4"/>
  <c r="E461" i="4"/>
  <c r="D23" i="4"/>
  <c r="D24" i="2"/>
  <c r="C30" i="2"/>
  <c r="D63" i="4"/>
  <c r="C130" i="4"/>
  <c r="D179" i="4"/>
  <c r="D7" i="4"/>
  <c r="C43" i="4"/>
  <c r="D130" i="4"/>
  <c r="E147" i="4"/>
  <c r="D211" i="4"/>
  <c r="E11" i="2"/>
  <c r="E16" i="2"/>
  <c r="E43" i="2"/>
  <c r="D14" i="4"/>
  <c r="D27" i="4"/>
  <c r="D99" i="4"/>
  <c r="E123" i="4"/>
  <c r="D123" i="4"/>
  <c r="C154" i="4"/>
  <c r="D154" i="4"/>
  <c r="D299" i="4"/>
  <c r="E299" i="4"/>
  <c r="E442" i="4"/>
  <c r="C453" i="4"/>
  <c r="C510" i="4"/>
  <c r="D526" i="4"/>
  <c r="E537" i="4"/>
  <c r="D561" i="4"/>
  <c r="C561" i="4"/>
  <c r="C586" i="4"/>
  <c r="D598" i="4"/>
  <c r="E598" i="4"/>
  <c r="C598" i="4"/>
  <c r="E646" i="4"/>
  <c r="D646" i="4"/>
  <c r="E98" i="4"/>
  <c r="D98" i="4"/>
  <c r="C98" i="4"/>
  <c r="C646" i="4"/>
  <c r="C494" i="4"/>
  <c r="D494" i="4"/>
  <c r="F3" i="2"/>
  <c r="E18" i="2"/>
  <c r="D18" i="2"/>
  <c r="F18" i="2"/>
  <c r="E27" i="2"/>
  <c r="F35" i="2"/>
  <c r="E2" i="4"/>
  <c r="D11" i="4"/>
  <c r="D31" i="4"/>
  <c r="E31" i="4"/>
  <c r="C31" i="4"/>
  <c r="C51" i="4"/>
  <c r="E51" i="4"/>
  <c r="D51" i="4"/>
  <c r="C137" i="4"/>
  <c r="E368" i="4"/>
  <c r="D368" i="4"/>
  <c r="C368" i="4"/>
  <c r="C424" i="4"/>
  <c r="D462" i="4"/>
  <c r="E462" i="4"/>
  <c r="C462" i="4"/>
  <c r="E549" i="4"/>
  <c r="D549" i="4"/>
  <c r="C549" i="4"/>
  <c r="D634" i="4"/>
  <c r="C634" i="4"/>
  <c r="E50" i="2"/>
  <c r="F50" i="2"/>
  <c r="D50" i="2"/>
  <c r="D2" i="4"/>
  <c r="C11" i="4"/>
  <c r="C21" i="4"/>
  <c r="C4" i="2"/>
  <c r="E4" i="2"/>
  <c r="C7" i="2"/>
  <c r="D15" i="2"/>
  <c r="F15" i="2"/>
  <c r="C18" i="2"/>
  <c r="F27" i="2"/>
  <c r="C36" i="2"/>
  <c r="E36" i="2"/>
  <c r="E3" i="4"/>
  <c r="D3" i="4"/>
  <c r="C3" i="4"/>
  <c r="C27" i="4"/>
  <c r="C38" i="4"/>
  <c r="D490" i="4"/>
  <c r="C490" i="4"/>
  <c r="E490" i="4"/>
  <c r="D544" i="4"/>
  <c r="C544" i="4"/>
  <c r="E634" i="4"/>
  <c r="C662" i="4"/>
  <c r="E662" i="4"/>
  <c r="D662" i="4"/>
  <c r="E53" i="2"/>
  <c r="F53" i="2"/>
  <c r="E238" i="4"/>
  <c r="D238" i="4"/>
  <c r="C238" i="4"/>
  <c r="E183" i="4"/>
  <c r="D183" i="4"/>
  <c r="C183" i="4"/>
  <c r="D274" i="4"/>
  <c r="E274" i="4"/>
  <c r="C330" i="4"/>
  <c r="D330" i="4"/>
  <c r="C362" i="4"/>
  <c r="D362" i="4"/>
  <c r="E362" i="4"/>
  <c r="E485" i="4"/>
  <c r="D485" i="4"/>
  <c r="C485" i="4"/>
  <c r="E629" i="4"/>
  <c r="D629" i="4"/>
  <c r="E107" i="4"/>
  <c r="D107" i="4"/>
  <c r="E187" i="4"/>
  <c r="D187" i="4"/>
  <c r="E223" i="4"/>
  <c r="D223" i="4"/>
  <c r="C223" i="4"/>
  <c r="E454" i="4"/>
  <c r="D454" i="4"/>
  <c r="C454" i="4"/>
  <c r="D506" i="4"/>
  <c r="E506" i="4"/>
  <c r="C506" i="4"/>
  <c r="D12" i="2"/>
  <c r="E15" i="2"/>
  <c r="E24" i="2"/>
  <c r="D32" i="2"/>
  <c r="C44" i="2"/>
  <c r="C55" i="2"/>
  <c r="C47" i="4"/>
  <c r="E47" i="4"/>
  <c r="D47" i="4"/>
  <c r="D94" i="4"/>
  <c r="E214" i="4"/>
  <c r="D214" i="4"/>
  <c r="C234" i="4"/>
  <c r="E234" i="4"/>
  <c r="C274" i="4"/>
  <c r="D458" i="4"/>
  <c r="E458" i="4"/>
  <c r="C458" i="4"/>
  <c r="D554" i="4"/>
  <c r="C554" i="4"/>
  <c r="E554" i="4"/>
  <c r="E22" i="2"/>
  <c r="C22" i="2"/>
  <c r="F22" i="2"/>
  <c r="D22" i="2"/>
  <c r="E12" i="2"/>
  <c r="E32" i="2"/>
  <c r="D44" i="2"/>
  <c r="F48" i="2"/>
  <c r="E48" i="2"/>
  <c r="C48" i="2"/>
  <c r="D48" i="2"/>
  <c r="D35" i="4"/>
  <c r="E35" i="4"/>
  <c r="D67" i="4"/>
  <c r="E67" i="4"/>
  <c r="C101" i="4"/>
  <c r="D101" i="4"/>
  <c r="E110" i="4"/>
  <c r="D110" i="4"/>
  <c r="E127" i="4"/>
  <c r="D127" i="4"/>
  <c r="C127" i="4"/>
  <c r="C214" i="4"/>
  <c r="E267" i="4"/>
  <c r="D267" i="4"/>
  <c r="D480" i="4"/>
  <c r="C480" i="4"/>
  <c r="C558" i="4"/>
  <c r="D558" i="4"/>
  <c r="D570" i="4"/>
  <c r="E570" i="4"/>
  <c r="C570" i="4"/>
  <c r="E91" i="4"/>
  <c r="D91" i="4"/>
  <c r="C91" i="4"/>
  <c r="D290" i="4"/>
  <c r="C290" i="4"/>
  <c r="D342" i="4"/>
  <c r="E342" i="4"/>
  <c r="C27" i="2"/>
  <c r="E10" i="2"/>
  <c r="F10" i="2"/>
  <c r="E30" i="2"/>
  <c r="F30" i="2"/>
  <c r="E42" i="2"/>
  <c r="F42" i="2"/>
  <c r="E44" i="2"/>
  <c r="E6" i="4"/>
  <c r="D6" i="4"/>
  <c r="C6" i="4"/>
  <c r="C25" i="4"/>
  <c r="D25" i="4"/>
  <c r="C35" i="4"/>
  <c r="C63" i="4"/>
  <c r="C67" i="4"/>
  <c r="C110" i="4"/>
  <c r="E207" i="4"/>
  <c r="D207" i="4"/>
  <c r="C267" i="4"/>
  <c r="C383" i="4"/>
  <c r="E383" i="4"/>
  <c r="D383" i="4"/>
  <c r="E558" i="4"/>
  <c r="E654" i="4"/>
  <c r="D654" i="4"/>
  <c r="C654" i="4"/>
  <c r="E348" i="4"/>
  <c r="D348" i="4"/>
  <c r="D410" i="4"/>
  <c r="C410" i="4"/>
  <c r="D470" i="4"/>
  <c r="E470" i="4"/>
  <c r="C470" i="4"/>
  <c r="C520" i="4"/>
  <c r="D520" i="4"/>
  <c r="C534" i="4"/>
  <c r="E534" i="4"/>
  <c r="D534" i="4"/>
  <c r="C606" i="4"/>
  <c r="E606" i="4"/>
  <c r="D606" i="4"/>
  <c r="D658" i="4"/>
  <c r="E658" i="4"/>
  <c r="C658" i="4"/>
  <c r="E486" i="4"/>
  <c r="C486" i="4"/>
  <c r="E550" i="4"/>
  <c r="C550" i="4"/>
  <c r="D576" i="4"/>
  <c r="C576" i="4"/>
  <c r="C585" i="4"/>
  <c r="D585" i="4"/>
  <c r="C642" i="4"/>
  <c r="C42" i="4"/>
  <c r="C122" i="4"/>
  <c r="C163" i="4"/>
  <c r="C174" i="4"/>
  <c r="C235" i="4"/>
  <c r="C275" i="4"/>
  <c r="C287" i="4"/>
  <c r="C322" i="4"/>
  <c r="D389" i="4"/>
  <c r="E389" i="4"/>
  <c r="E466" i="4"/>
  <c r="D466" i="4"/>
  <c r="C466" i="4"/>
  <c r="D482" i="4"/>
  <c r="C482" i="4"/>
  <c r="D517" i="4"/>
  <c r="C517" i="4"/>
  <c r="C526" i="4"/>
  <c r="D530" i="4"/>
  <c r="E530" i="4"/>
  <c r="C530" i="4"/>
  <c r="D546" i="4"/>
  <c r="C546" i="4"/>
  <c r="D550" i="4"/>
  <c r="E585" i="4"/>
  <c r="C589" i="4"/>
  <c r="C593" i="4"/>
  <c r="E597" i="4"/>
  <c r="D597" i="4"/>
  <c r="D642" i="4"/>
  <c r="C39" i="4"/>
  <c r="C55" i="4"/>
  <c r="C71" i="4"/>
  <c r="C119" i="4"/>
  <c r="C219" i="4"/>
  <c r="D8" i="2"/>
  <c r="C26" i="2"/>
  <c r="D28" i="2"/>
  <c r="C34" i="2"/>
  <c r="D40" i="2"/>
  <c r="F45" i="2"/>
  <c r="C15" i="4"/>
  <c r="C19" i="4"/>
  <c r="D39" i="4"/>
  <c r="D42" i="4"/>
  <c r="D55" i="4"/>
  <c r="D58" i="4"/>
  <c r="D71" i="4"/>
  <c r="C75" i="4"/>
  <c r="C78" i="4"/>
  <c r="D89" i="4"/>
  <c r="C95" i="4"/>
  <c r="C105" i="4"/>
  <c r="C111" i="4"/>
  <c r="D115" i="4"/>
  <c r="D119" i="4"/>
  <c r="D122" i="4"/>
  <c r="C142" i="4"/>
  <c r="D163" i="4"/>
  <c r="D174" i="4"/>
  <c r="D178" i="4"/>
  <c r="C194" i="4"/>
  <c r="C215" i="4"/>
  <c r="E219" i="4"/>
  <c r="D235" i="4"/>
  <c r="D246" i="4"/>
  <c r="D258" i="4"/>
  <c r="D275" i="4"/>
  <c r="C279" i="4"/>
  <c r="C283" i="4"/>
  <c r="D287" i="4"/>
  <c r="C291" i="4"/>
  <c r="D327" i="4"/>
  <c r="E331" i="4"/>
  <c r="E354" i="4"/>
  <c r="E365" i="4"/>
  <c r="C365" i="4"/>
  <c r="C422" i="4"/>
  <c r="D422" i="4"/>
  <c r="E482" i="4"/>
  <c r="D589" i="4"/>
  <c r="D593" i="4"/>
  <c r="D614" i="4"/>
  <c r="E622" i="4"/>
  <c r="D622" i="4"/>
  <c r="E638" i="4"/>
  <c r="D638" i="4"/>
  <c r="C666" i="4"/>
  <c r="E374" i="4"/>
  <c r="D374" i="4"/>
  <c r="E400" i="4"/>
  <c r="C400" i="4"/>
  <c r="E406" i="4"/>
  <c r="D406" i="4"/>
  <c r="E421" i="4"/>
  <c r="D421" i="4"/>
  <c r="C58" i="4"/>
  <c r="C115" i="4"/>
  <c r="D331" i="4"/>
  <c r="E8" i="2"/>
  <c r="C11" i="2"/>
  <c r="C14" i="2"/>
  <c r="D16" i="2"/>
  <c r="D26" i="2"/>
  <c r="E28" i="2"/>
  <c r="E31" i="2"/>
  <c r="D34" i="2"/>
  <c r="E40" i="2"/>
  <c r="C54" i="2"/>
  <c r="C10" i="4"/>
  <c r="D15" i="4"/>
  <c r="D19" i="4"/>
  <c r="D26" i="4"/>
  <c r="D62" i="4"/>
  <c r="D75" i="4"/>
  <c r="D78" i="4"/>
  <c r="D95" i="4"/>
  <c r="D111" i="4"/>
  <c r="C167" i="4"/>
  <c r="C171" i="4"/>
  <c r="E178" i="4"/>
  <c r="C206" i="4"/>
  <c r="E215" i="4"/>
  <c r="C239" i="4"/>
  <c r="D279" i="4"/>
  <c r="D283" i="4"/>
  <c r="D291" i="4"/>
  <c r="C295" i="4"/>
  <c r="C299" i="4"/>
  <c r="D303" i="4"/>
  <c r="E327" i="4"/>
  <c r="D345" i="4"/>
  <c r="D365" i="4"/>
  <c r="C391" i="4"/>
  <c r="E391" i="4"/>
  <c r="D418" i="4"/>
  <c r="C418" i="4"/>
  <c r="E422" i="4"/>
  <c r="C442" i="4"/>
  <c r="C473" i="4"/>
  <c r="D478" i="4"/>
  <c r="C478" i="4"/>
  <c r="D522" i="4"/>
  <c r="C537" i="4"/>
  <c r="D542" i="4"/>
  <c r="C542" i="4"/>
  <c r="C246" i="4"/>
  <c r="F26" i="2"/>
  <c r="F34" i="2"/>
  <c r="C351" i="4"/>
  <c r="D351" i="4"/>
  <c r="D397" i="4"/>
  <c r="C397" i="4"/>
  <c r="E414" i="4"/>
  <c r="D414" i="4"/>
  <c r="D448" i="4"/>
  <c r="C448" i="4"/>
  <c r="C610" i="4"/>
  <c r="E610" i="4"/>
  <c r="C590" i="4"/>
  <c r="C626" i="4"/>
  <c r="D380" i="4"/>
  <c r="E403" i="4"/>
  <c r="D453" i="4"/>
  <c r="D581" i="4"/>
  <c r="D630" i="4"/>
  <c r="F42" i="4"/>
  <c r="F58" i="4"/>
  <c r="F3" i="4"/>
  <c r="F7" i="4"/>
  <c r="F47" i="4"/>
  <c r="F55" i="4"/>
  <c r="F59" i="4"/>
  <c r="F79" i="4"/>
  <c r="F88" i="4"/>
  <c r="F100" i="4"/>
  <c r="F115" i="4"/>
  <c r="F179" i="4"/>
  <c r="F607" i="4"/>
  <c r="F623" i="4"/>
  <c r="F626" i="4"/>
  <c r="F651" i="4"/>
  <c r="E21" i="2"/>
  <c r="D21" i="2"/>
  <c r="C21" i="2"/>
  <c r="C23" i="2"/>
  <c r="F47" i="2"/>
  <c r="D47" i="2"/>
  <c r="C51" i="2"/>
  <c r="F22" i="4"/>
  <c r="E22" i="4"/>
  <c r="D22" i="4"/>
  <c r="C22" i="4"/>
  <c r="F50" i="4"/>
  <c r="F94" i="4"/>
  <c r="F383" i="4"/>
  <c r="F397" i="4"/>
  <c r="F401" i="4"/>
  <c r="F403" i="4"/>
  <c r="F406" i="4"/>
  <c r="F414" i="4"/>
  <c r="F418" i="4"/>
  <c r="F419" i="4"/>
  <c r="F421" i="4"/>
  <c r="F426" i="4"/>
  <c r="F430" i="4"/>
  <c r="F431" i="4"/>
  <c r="F438" i="4"/>
  <c r="F442" i="4"/>
  <c r="F449" i="4"/>
  <c r="F451" i="4"/>
  <c r="F453" i="4"/>
  <c r="F458" i="4"/>
  <c r="F462" i="4"/>
  <c r="F463" i="4"/>
  <c r="F473" i="4"/>
  <c r="F474" i="4"/>
  <c r="F478" i="4"/>
  <c r="F482" i="4"/>
  <c r="F483" i="4"/>
  <c r="F485" i="4"/>
  <c r="F490" i="4"/>
  <c r="F493" i="4"/>
  <c r="F495" i="4"/>
  <c r="F503" i="4"/>
  <c r="F506" i="4"/>
  <c r="F510" i="4"/>
  <c r="F514" i="4"/>
  <c r="F518" i="4"/>
  <c r="F522" i="4"/>
  <c r="F526" i="4"/>
  <c r="F535" i="4"/>
  <c r="F537" i="4"/>
  <c r="F538" i="4"/>
  <c r="F542" i="4"/>
  <c r="F546" i="4"/>
  <c r="F550" i="4"/>
  <c r="F558" i="4"/>
  <c r="F559" i="4"/>
  <c r="F569" i="4"/>
  <c r="F570" i="4"/>
  <c r="F587" i="4"/>
  <c r="F591" i="4"/>
  <c r="F631" i="4"/>
  <c r="F663" i="4"/>
  <c r="E17" i="2"/>
  <c r="D17" i="2"/>
  <c r="C17" i="2"/>
  <c r="C19" i="2"/>
  <c r="F21" i="2"/>
  <c r="E23" i="2"/>
  <c r="F43" i="2"/>
  <c r="D43" i="2"/>
  <c r="C47" i="2"/>
  <c r="F28" i="4"/>
  <c r="F70" i="4"/>
  <c r="F36" i="4"/>
  <c r="F40" i="4"/>
  <c r="F75" i="4"/>
  <c r="F87" i="4"/>
  <c r="F99" i="4"/>
  <c r="F116" i="4"/>
  <c r="F135" i="4"/>
  <c r="F150" i="4"/>
  <c r="F154" i="4"/>
  <c r="F163" i="4"/>
  <c r="F164" i="4"/>
  <c r="F168" i="4"/>
  <c r="F172" i="4"/>
  <c r="F184" i="4"/>
  <c r="F191" i="4"/>
  <c r="F195" i="4"/>
  <c r="F211" i="4"/>
  <c r="F232" i="4"/>
  <c r="F235" i="4"/>
  <c r="F239" i="4"/>
  <c r="F243" i="4"/>
  <c r="F244" i="4"/>
  <c r="F247" i="4"/>
  <c r="F251" i="4"/>
  <c r="F255" i="4"/>
  <c r="F256" i="4"/>
  <c r="F260" i="4"/>
  <c r="F275" i="4"/>
  <c r="F283" i="4"/>
  <c r="F288" i="4"/>
  <c r="F295" i="4"/>
  <c r="F303" i="4"/>
  <c r="F308" i="4"/>
  <c r="F311" i="4"/>
  <c r="F315" i="4"/>
  <c r="F328" i="4"/>
  <c r="F332" i="4"/>
  <c r="F336" i="4"/>
  <c r="F348" i="4"/>
  <c r="F351" i="4"/>
  <c r="F357" i="4"/>
  <c r="F362" i="4"/>
  <c r="F366" i="4"/>
  <c r="F368" i="4"/>
  <c r="F377" i="4"/>
  <c r="F585" i="4"/>
  <c r="F598" i="4"/>
  <c r="F603" i="4"/>
  <c r="F610" i="4"/>
  <c r="F614" i="4"/>
  <c r="F647" i="4"/>
  <c r="F662" i="4"/>
  <c r="E13" i="2"/>
  <c r="D13" i="2"/>
  <c r="C13" i="2"/>
  <c r="E19" i="2"/>
  <c r="F23" i="2"/>
  <c r="E47" i="2"/>
  <c r="F5" i="4"/>
  <c r="E5" i="4"/>
  <c r="D5" i="4"/>
  <c r="C5" i="4"/>
  <c r="F38" i="4"/>
  <c r="F54" i="4"/>
  <c r="F74" i="4"/>
  <c r="F114" i="4"/>
  <c r="F134" i="4"/>
  <c r="F10" i="4"/>
  <c r="F27" i="4"/>
  <c r="F35" i="4"/>
  <c r="F71" i="4"/>
  <c r="F80" i="4"/>
  <c r="F83" i="4"/>
  <c r="F91" i="4"/>
  <c r="F107" i="4"/>
  <c r="F111" i="4"/>
  <c r="F112" i="4"/>
  <c r="F118" i="4"/>
  <c r="F131" i="4"/>
  <c r="F139" i="4"/>
  <c r="F176" i="4"/>
  <c r="F180" i="4"/>
  <c r="F187" i="4"/>
  <c r="F188" i="4"/>
  <c r="F199" i="4"/>
  <c r="F208" i="4"/>
  <c r="F216" i="4"/>
  <c r="F219" i="4"/>
  <c r="F224" i="4"/>
  <c r="F236" i="4"/>
  <c r="F264" i="4"/>
  <c r="F296" i="4"/>
  <c r="F300" i="4"/>
  <c r="F312" i="4"/>
  <c r="F320" i="4"/>
  <c r="F324" i="4"/>
  <c r="F342" i="4"/>
  <c r="F360" i="4"/>
  <c r="F602" i="4"/>
  <c r="F619" i="4"/>
  <c r="F639" i="4"/>
  <c r="E9" i="2"/>
  <c r="D9" i="2"/>
  <c r="C9" i="2"/>
  <c r="F19" i="2"/>
  <c r="F39" i="2"/>
  <c r="D39" i="2"/>
  <c r="F2" i="4"/>
  <c r="F12" i="4"/>
  <c r="F19" i="4"/>
  <c r="F63" i="4"/>
  <c r="F67" i="4"/>
  <c r="F120" i="4"/>
  <c r="F122" i="4"/>
  <c r="F127" i="4"/>
  <c r="F147" i="4"/>
  <c r="F152" i="4"/>
  <c r="F158" i="4"/>
  <c r="F196" i="4"/>
  <c r="F203" i="4"/>
  <c r="F215" i="4"/>
  <c r="F227" i="4"/>
  <c r="F276" i="4"/>
  <c r="F581" i="4"/>
  <c r="F594" i="4"/>
  <c r="F643" i="4"/>
  <c r="F659" i="4"/>
  <c r="E5" i="2"/>
  <c r="D5" i="2"/>
  <c r="C5" i="2"/>
  <c r="E37" i="2"/>
  <c r="D37" i="2"/>
  <c r="C37" i="2"/>
  <c r="D20" i="4"/>
  <c r="C20" i="4"/>
  <c r="F20" i="4"/>
  <c r="E20" i="4"/>
  <c r="F138" i="4"/>
  <c r="F4" i="4"/>
  <c r="F23" i="4"/>
  <c r="F44" i="4"/>
  <c r="F68" i="4"/>
  <c r="F86" i="4"/>
  <c r="F110" i="4"/>
  <c r="F143" i="4"/>
  <c r="F148" i="4"/>
  <c r="F155" i="4"/>
  <c r="F162" i="4"/>
  <c r="F167" i="4"/>
  <c r="F207" i="4"/>
  <c r="F220" i="4"/>
  <c r="F223" i="4"/>
  <c r="F228" i="4"/>
  <c r="F248" i="4"/>
  <c r="F272" i="4"/>
  <c r="F279" i="4"/>
  <c r="F280" i="4"/>
  <c r="F299" i="4"/>
  <c r="F304" i="4"/>
  <c r="F316" i="4"/>
  <c r="F345" i="4"/>
  <c r="F363" i="4"/>
  <c r="F369" i="4"/>
  <c r="F371" i="4"/>
  <c r="F374" i="4"/>
  <c r="F380" i="4"/>
  <c r="F386" i="4"/>
  <c r="F389" i="4"/>
  <c r="F392" i="4"/>
  <c r="F394" i="4"/>
  <c r="F395" i="4"/>
  <c r="F398" i="4"/>
  <c r="F400" i="4"/>
  <c r="F409" i="4"/>
  <c r="F410" i="4"/>
  <c r="F417" i="4"/>
  <c r="F422" i="4"/>
  <c r="F429" i="4"/>
  <c r="F434" i="4"/>
  <c r="F439" i="4"/>
  <c r="F441" i="4"/>
  <c r="F446" i="4"/>
  <c r="F450" i="4"/>
  <c r="F454" i="4"/>
  <c r="F461" i="4"/>
  <c r="F466" i="4"/>
  <c r="F470" i="4"/>
  <c r="F471" i="4"/>
  <c r="F481" i="4"/>
  <c r="F486" i="4"/>
  <c r="F494" i="4"/>
  <c r="F498" i="4"/>
  <c r="F502" i="4"/>
  <c r="F505" i="4"/>
  <c r="F513" i="4"/>
  <c r="F515" i="4"/>
  <c r="F517" i="4"/>
  <c r="F525" i="4"/>
  <c r="F527" i="4"/>
  <c r="F530" i="4"/>
  <c r="F534" i="4"/>
  <c r="F545" i="4"/>
  <c r="F547" i="4"/>
  <c r="F549" i="4"/>
  <c r="F554" i="4"/>
  <c r="F557" i="4"/>
  <c r="F562" i="4"/>
  <c r="F566" i="4"/>
  <c r="F567" i="4"/>
  <c r="F574" i="4"/>
  <c r="F586" i="4"/>
  <c r="F599" i="4"/>
  <c r="F606" i="4"/>
  <c r="F611" i="4"/>
  <c r="F622" i="4"/>
  <c r="F630" i="4"/>
  <c r="F635" i="4"/>
  <c r="F642" i="4"/>
  <c r="C3" i="2"/>
  <c r="F5" i="2"/>
  <c r="E7" i="2"/>
  <c r="F11" i="2"/>
  <c r="E33" i="2"/>
  <c r="D33" i="2"/>
  <c r="C33" i="2"/>
  <c r="C35" i="2"/>
  <c r="F37" i="2"/>
  <c r="E39" i="2"/>
  <c r="F30" i="4"/>
  <c r="F82" i="4"/>
  <c r="F102" i="4"/>
  <c r="F126" i="4"/>
  <c r="F8" i="4"/>
  <c r="F15" i="4"/>
  <c r="F24" i="4"/>
  <c r="F43" i="4"/>
  <c r="F56" i="4"/>
  <c r="F39" i="4"/>
  <c r="F66" i="4"/>
  <c r="F90" i="4"/>
  <c r="F98" i="4"/>
  <c r="F130" i="4"/>
  <c r="F132" i="4"/>
  <c r="F144" i="4"/>
  <c r="F159" i="4"/>
  <c r="F183" i="4"/>
  <c r="F192" i="4"/>
  <c r="F204" i="4"/>
  <c r="F212" i="4"/>
  <c r="F231" i="4"/>
  <c r="F240" i="4"/>
  <c r="F252" i="4"/>
  <c r="F263" i="4"/>
  <c r="F284" i="4"/>
  <c r="F287" i="4"/>
  <c r="F292" i="4"/>
  <c r="F307" i="4"/>
  <c r="F323" i="4"/>
  <c r="F327" i="4"/>
  <c r="F331" i="4"/>
  <c r="F335" i="4"/>
  <c r="F339" i="4"/>
  <c r="F354" i="4"/>
  <c r="F365" i="4"/>
  <c r="F579" i="4"/>
  <c r="F615" i="4"/>
  <c r="F634" i="4"/>
  <c r="F655" i="4"/>
  <c r="F2" i="2"/>
  <c r="E2" i="2"/>
  <c r="E3" i="2"/>
  <c r="F7" i="2"/>
  <c r="E29" i="2"/>
  <c r="D29" i="2"/>
  <c r="C29" i="2"/>
  <c r="C31" i="2"/>
  <c r="F33" i="2"/>
  <c r="E35" i="2"/>
  <c r="F55" i="2"/>
  <c r="D55" i="2"/>
  <c r="F6" i="4"/>
  <c r="F11" i="4"/>
  <c r="F18" i="4"/>
  <c r="F37" i="4"/>
  <c r="E37" i="4"/>
  <c r="D37" i="4"/>
  <c r="C37" i="4"/>
  <c r="F142" i="4"/>
  <c r="F14" i="4"/>
  <c r="F31" i="4"/>
  <c r="F51" i="4"/>
  <c r="F34" i="4"/>
  <c r="F46" i="4"/>
  <c r="F78" i="4"/>
  <c r="F95" i="4"/>
  <c r="F103" i="4"/>
  <c r="F119" i="4"/>
  <c r="F123" i="4"/>
  <c r="F151" i="4"/>
  <c r="F171" i="4"/>
  <c r="F175" i="4"/>
  <c r="F200" i="4"/>
  <c r="F259" i="4"/>
  <c r="F267" i="4"/>
  <c r="F268" i="4"/>
  <c r="F271" i="4"/>
  <c r="F291" i="4"/>
  <c r="F319" i="4"/>
  <c r="F578" i="4"/>
  <c r="F582" i="4"/>
  <c r="F590" i="4"/>
  <c r="F595" i="4"/>
  <c r="F618" i="4"/>
  <c r="F627" i="4"/>
  <c r="F638" i="4"/>
  <c r="F646" i="4"/>
  <c r="E25" i="2"/>
  <c r="D25" i="2"/>
  <c r="C25" i="2"/>
  <c r="F51" i="2"/>
  <c r="D51" i="2"/>
  <c r="F106" i="4"/>
  <c r="F146" i="4"/>
  <c r="F166" i="4"/>
  <c r="D16" i="4"/>
  <c r="C16" i="4"/>
  <c r="F33" i="4"/>
  <c r="E33" i="4"/>
  <c r="D48" i="4"/>
  <c r="C48" i="4"/>
  <c r="E60" i="4"/>
  <c r="D60" i="4"/>
  <c r="C60" i="4"/>
  <c r="F81" i="4"/>
  <c r="E81" i="4"/>
  <c r="E92" i="4"/>
  <c r="D92" i="4"/>
  <c r="C92" i="4"/>
  <c r="F113" i="4"/>
  <c r="E113" i="4"/>
  <c r="E124" i="4"/>
  <c r="D124" i="4"/>
  <c r="C124" i="4"/>
  <c r="F145" i="4"/>
  <c r="E145" i="4"/>
  <c r="E156" i="4"/>
  <c r="D156" i="4"/>
  <c r="C156" i="4"/>
  <c r="F170" i="4"/>
  <c r="F193" i="4"/>
  <c r="E193" i="4"/>
  <c r="D193" i="4"/>
  <c r="F202" i="4"/>
  <c r="F225" i="4"/>
  <c r="E225" i="4"/>
  <c r="D225" i="4"/>
  <c r="F234" i="4"/>
  <c r="F257" i="4"/>
  <c r="E257" i="4"/>
  <c r="D257" i="4"/>
  <c r="F266" i="4"/>
  <c r="F289" i="4"/>
  <c r="E289" i="4"/>
  <c r="D289" i="4"/>
  <c r="C399" i="4"/>
  <c r="F399" i="4"/>
  <c r="E399" i="4"/>
  <c r="D399" i="4"/>
  <c r="D411" i="4"/>
  <c r="C411" i="4"/>
  <c r="F411" i="4"/>
  <c r="F509" i="4"/>
  <c r="E509" i="4"/>
  <c r="D509" i="4"/>
  <c r="D551" i="4"/>
  <c r="C551" i="4"/>
  <c r="F551" i="4"/>
  <c r="E551" i="4"/>
  <c r="F561" i="4"/>
  <c r="F608" i="4"/>
  <c r="E608" i="4"/>
  <c r="D608" i="4"/>
  <c r="F13" i="4"/>
  <c r="E13" i="4"/>
  <c r="E16" i="4"/>
  <c r="C18" i="4"/>
  <c r="D28" i="4"/>
  <c r="C28" i="4"/>
  <c r="C33" i="4"/>
  <c r="F45" i="4"/>
  <c r="E45" i="4"/>
  <c r="E48" i="4"/>
  <c r="C50" i="4"/>
  <c r="F60" i="4"/>
  <c r="E64" i="4"/>
  <c r="D64" i="4"/>
  <c r="C64" i="4"/>
  <c r="C70" i="4"/>
  <c r="C81" i="4"/>
  <c r="F85" i="4"/>
  <c r="E85" i="4"/>
  <c r="F92" i="4"/>
  <c r="E96" i="4"/>
  <c r="D96" i="4"/>
  <c r="C96" i="4"/>
  <c r="C102" i="4"/>
  <c r="C113" i="4"/>
  <c r="F117" i="4"/>
  <c r="E117" i="4"/>
  <c r="F124" i="4"/>
  <c r="E128" i="4"/>
  <c r="D128" i="4"/>
  <c r="C128" i="4"/>
  <c r="C134" i="4"/>
  <c r="C145" i="4"/>
  <c r="F149" i="4"/>
  <c r="E149" i="4"/>
  <c r="F156" i="4"/>
  <c r="E160" i="4"/>
  <c r="D160" i="4"/>
  <c r="C160" i="4"/>
  <c r="C166" i="4"/>
  <c r="C170" i="4"/>
  <c r="F189" i="4"/>
  <c r="E189" i="4"/>
  <c r="D189" i="4"/>
  <c r="C193" i="4"/>
  <c r="F198" i="4"/>
  <c r="C202" i="4"/>
  <c r="F221" i="4"/>
  <c r="E221" i="4"/>
  <c r="D221" i="4"/>
  <c r="F230" i="4"/>
  <c r="F253" i="4"/>
  <c r="E253" i="4"/>
  <c r="D253" i="4"/>
  <c r="F262" i="4"/>
  <c r="F285" i="4"/>
  <c r="E285" i="4"/>
  <c r="D285" i="4"/>
  <c r="F297" i="4"/>
  <c r="E297" i="4"/>
  <c r="D297" i="4"/>
  <c r="C297" i="4"/>
  <c r="F305" i="4"/>
  <c r="E305" i="4"/>
  <c r="D305" i="4"/>
  <c r="C305" i="4"/>
  <c r="F313" i="4"/>
  <c r="E313" i="4"/>
  <c r="D313" i="4"/>
  <c r="C313" i="4"/>
  <c r="F321" i="4"/>
  <c r="E321" i="4"/>
  <c r="D321" i="4"/>
  <c r="C321" i="4"/>
  <c r="F329" i="4"/>
  <c r="E329" i="4"/>
  <c r="D329" i="4"/>
  <c r="C329" i="4"/>
  <c r="F337" i="4"/>
  <c r="E337" i="4"/>
  <c r="D337" i="4"/>
  <c r="C337" i="4"/>
  <c r="E396" i="4"/>
  <c r="F396" i="4"/>
  <c r="D396" i="4"/>
  <c r="C396" i="4"/>
  <c r="D423" i="4"/>
  <c r="C423" i="4"/>
  <c r="F423" i="4"/>
  <c r="E423" i="4"/>
  <c r="F433" i="4"/>
  <c r="D443" i="4"/>
  <c r="C443" i="4"/>
  <c r="F443" i="4"/>
  <c r="F469" i="4"/>
  <c r="F472" i="4"/>
  <c r="E472" i="4"/>
  <c r="D472" i="4"/>
  <c r="C472" i="4"/>
  <c r="F489" i="4"/>
  <c r="E489" i="4"/>
  <c r="D489" i="4"/>
  <c r="C489" i="4"/>
  <c r="F524" i="4"/>
  <c r="E524" i="4"/>
  <c r="D524" i="4"/>
  <c r="D571" i="4"/>
  <c r="C571" i="4"/>
  <c r="F571" i="4"/>
  <c r="F604" i="4"/>
  <c r="E604" i="4"/>
  <c r="D604" i="4"/>
  <c r="C604" i="4"/>
  <c r="F668" i="4"/>
  <c r="E668" i="4"/>
  <c r="D668" i="4"/>
  <c r="C668" i="4"/>
  <c r="F4" i="2"/>
  <c r="F8" i="2"/>
  <c r="F12" i="2"/>
  <c r="F16" i="2"/>
  <c r="F20" i="2"/>
  <c r="F24" i="2"/>
  <c r="F28" i="2"/>
  <c r="F32" i="2"/>
  <c r="F36" i="2"/>
  <c r="F40" i="2"/>
  <c r="D8" i="4"/>
  <c r="C8" i="4"/>
  <c r="C13" i="4"/>
  <c r="F16" i="4"/>
  <c r="D18" i="4"/>
  <c r="F25" i="4"/>
  <c r="E25" i="4"/>
  <c r="F26" i="4"/>
  <c r="E28" i="4"/>
  <c r="C30" i="4"/>
  <c r="D33" i="4"/>
  <c r="D40" i="4"/>
  <c r="C40" i="4"/>
  <c r="C45" i="4"/>
  <c r="F48" i="4"/>
  <c r="D50" i="4"/>
  <c r="F57" i="4"/>
  <c r="E57" i="4"/>
  <c r="F62" i="4"/>
  <c r="F64" i="4"/>
  <c r="E68" i="4"/>
  <c r="D68" i="4"/>
  <c r="C68" i="4"/>
  <c r="D70" i="4"/>
  <c r="C74" i="4"/>
  <c r="D81" i="4"/>
  <c r="C85" i="4"/>
  <c r="F89" i="4"/>
  <c r="E89" i="4"/>
  <c r="F96" i="4"/>
  <c r="E100" i="4"/>
  <c r="D100" i="4"/>
  <c r="C100" i="4"/>
  <c r="D102" i="4"/>
  <c r="C106" i="4"/>
  <c r="D113" i="4"/>
  <c r="C117" i="4"/>
  <c r="F121" i="4"/>
  <c r="E121" i="4"/>
  <c r="F128" i="4"/>
  <c r="E132" i="4"/>
  <c r="D132" i="4"/>
  <c r="C132" i="4"/>
  <c r="D134" i="4"/>
  <c r="C138" i="4"/>
  <c r="D145" i="4"/>
  <c r="C149" i="4"/>
  <c r="F153" i="4"/>
  <c r="E153" i="4"/>
  <c r="F160" i="4"/>
  <c r="E164" i="4"/>
  <c r="D164" i="4"/>
  <c r="C164" i="4"/>
  <c r="D166" i="4"/>
  <c r="D170" i="4"/>
  <c r="F185" i="4"/>
  <c r="E185" i="4"/>
  <c r="D185" i="4"/>
  <c r="C189" i="4"/>
  <c r="F194" i="4"/>
  <c r="C198" i="4"/>
  <c r="D202" i="4"/>
  <c r="F217" i="4"/>
  <c r="E217" i="4"/>
  <c r="D217" i="4"/>
  <c r="C221" i="4"/>
  <c r="F226" i="4"/>
  <c r="C230" i="4"/>
  <c r="D234" i="4"/>
  <c r="F249" i="4"/>
  <c r="E249" i="4"/>
  <c r="D249" i="4"/>
  <c r="C253" i="4"/>
  <c r="F258" i="4"/>
  <c r="C262" i="4"/>
  <c r="D266" i="4"/>
  <c r="F281" i="4"/>
  <c r="E281" i="4"/>
  <c r="D281" i="4"/>
  <c r="C285" i="4"/>
  <c r="F290" i="4"/>
  <c r="E290" i="4"/>
  <c r="F298" i="4"/>
  <c r="E298" i="4"/>
  <c r="F306" i="4"/>
  <c r="E306" i="4"/>
  <c r="F314" i="4"/>
  <c r="E314" i="4"/>
  <c r="F322" i="4"/>
  <c r="E322" i="4"/>
  <c r="F330" i="4"/>
  <c r="E330" i="4"/>
  <c r="F338" i="4"/>
  <c r="E338" i="4"/>
  <c r="F393" i="4"/>
  <c r="E393" i="4"/>
  <c r="D393" i="4"/>
  <c r="C393" i="4"/>
  <c r="E443" i="4"/>
  <c r="D455" i="4"/>
  <c r="C455" i="4"/>
  <c r="F455" i="4"/>
  <c r="E455" i="4"/>
  <c r="F465" i="4"/>
  <c r="C524" i="4"/>
  <c r="F541" i="4"/>
  <c r="E541" i="4"/>
  <c r="D541" i="4"/>
  <c r="E571" i="4"/>
  <c r="E583" i="4"/>
  <c r="D583" i="4"/>
  <c r="C583" i="4"/>
  <c r="F583" i="4"/>
  <c r="F613" i="4"/>
  <c r="E613" i="4"/>
  <c r="D613" i="4"/>
  <c r="C613" i="4"/>
  <c r="D52" i="4"/>
  <c r="C52" i="4"/>
  <c r="F61" i="4"/>
  <c r="E61" i="4"/>
  <c r="E72" i="4"/>
  <c r="D72" i="4"/>
  <c r="C72" i="4"/>
  <c r="F93" i="4"/>
  <c r="E93" i="4"/>
  <c r="E104" i="4"/>
  <c r="D104" i="4"/>
  <c r="C104" i="4"/>
  <c r="F125" i="4"/>
  <c r="E125" i="4"/>
  <c r="E136" i="4"/>
  <c r="D136" i="4"/>
  <c r="C136" i="4"/>
  <c r="F157" i="4"/>
  <c r="E157" i="4"/>
  <c r="F181" i="4"/>
  <c r="E181" i="4"/>
  <c r="D181" i="4"/>
  <c r="F190" i="4"/>
  <c r="F213" i="4"/>
  <c r="E213" i="4"/>
  <c r="D213" i="4"/>
  <c r="F222" i="4"/>
  <c r="F245" i="4"/>
  <c r="E245" i="4"/>
  <c r="D245" i="4"/>
  <c r="F254" i="4"/>
  <c r="F277" i="4"/>
  <c r="E277" i="4"/>
  <c r="D277" i="4"/>
  <c r="F286" i="4"/>
  <c r="F370" i="4"/>
  <c r="E370" i="4"/>
  <c r="D370" i="4"/>
  <c r="F373" i="4"/>
  <c r="E373" i="4"/>
  <c r="D373" i="4"/>
  <c r="F378" i="4"/>
  <c r="F413" i="4"/>
  <c r="E413" i="4"/>
  <c r="D413" i="4"/>
  <c r="D475" i="4"/>
  <c r="C475" i="4"/>
  <c r="F475" i="4"/>
  <c r="F501" i="4"/>
  <c r="F504" i="4"/>
  <c r="E504" i="4"/>
  <c r="D504" i="4"/>
  <c r="C504" i="4"/>
  <c r="F521" i="4"/>
  <c r="E521" i="4"/>
  <c r="D521" i="4"/>
  <c r="C521" i="4"/>
  <c r="C541" i="4"/>
  <c r="F556" i="4"/>
  <c r="E556" i="4"/>
  <c r="D556" i="4"/>
  <c r="F617" i="4"/>
  <c r="E617" i="4"/>
  <c r="D617" i="4"/>
  <c r="F17" i="4"/>
  <c r="E17" i="4"/>
  <c r="E30" i="4"/>
  <c r="D32" i="4"/>
  <c r="C32" i="4"/>
  <c r="F49" i="4"/>
  <c r="E49" i="4"/>
  <c r="E52" i="4"/>
  <c r="C54" i="4"/>
  <c r="C61" i="4"/>
  <c r="F65" i="4"/>
  <c r="E65" i="4"/>
  <c r="F72" i="4"/>
  <c r="E74" i="4"/>
  <c r="E76" i="4"/>
  <c r="D76" i="4"/>
  <c r="C76" i="4"/>
  <c r="C82" i="4"/>
  <c r="C93" i="4"/>
  <c r="F97" i="4"/>
  <c r="E97" i="4"/>
  <c r="F104" i="4"/>
  <c r="E106" i="4"/>
  <c r="E108" i="4"/>
  <c r="D108" i="4"/>
  <c r="C108" i="4"/>
  <c r="C114" i="4"/>
  <c r="C125" i="4"/>
  <c r="F129" i="4"/>
  <c r="E129" i="4"/>
  <c r="F136" i="4"/>
  <c r="E138" i="4"/>
  <c r="E140" i="4"/>
  <c r="D140" i="4"/>
  <c r="C140" i="4"/>
  <c r="C146" i="4"/>
  <c r="C157" i="4"/>
  <c r="F161" i="4"/>
  <c r="E161" i="4"/>
  <c r="F177" i="4"/>
  <c r="E177" i="4"/>
  <c r="D177" i="4"/>
  <c r="C181" i="4"/>
  <c r="F186" i="4"/>
  <c r="C190" i="4"/>
  <c r="E198" i="4"/>
  <c r="F209" i="4"/>
  <c r="E209" i="4"/>
  <c r="D209" i="4"/>
  <c r="C213" i="4"/>
  <c r="F218" i="4"/>
  <c r="C222" i="4"/>
  <c r="E230" i="4"/>
  <c r="F241" i="4"/>
  <c r="E241" i="4"/>
  <c r="D241" i="4"/>
  <c r="C245" i="4"/>
  <c r="F250" i="4"/>
  <c r="C254" i="4"/>
  <c r="E262" i="4"/>
  <c r="F273" i="4"/>
  <c r="E273" i="4"/>
  <c r="D273" i="4"/>
  <c r="C277" i="4"/>
  <c r="F282" i="4"/>
  <c r="C286" i="4"/>
  <c r="F341" i="4"/>
  <c r="E341" i="4"/>
  <c r="D341" i="4"/>
  <c r="F346" i="4"/>
  <c r="F361" i="4"/>
  <c r="E361" i="4"/>
  <c r="D361" i="4"/>
  <c r="C361" i="4"/>
  <c r="E364" i="4"/>
  <c r="F364" i="4"/>
  <c r="D364" i="4"/>
  <c r="C364" i="4"/>
  <c r="C367" i="4"/>
  <c r="F367" i="4"/>
  <c r="E367" i="4"/>
  <c r="D367" i="4"/>
  <c r="C370" i="4"/>
  <c r="C373" i="4"/>
  <c r="E376" i="4"/>
  <c r="F376" i="4"/>
  <c r="D376" i="4"/>
  <c r="F381" i="4"/>
  <c r="F390" i="4"/>
  <c r="E390" i="4"/>
  <c r="D390" i="4"/>
  <c r="C390" i="4"/>
  <c r="C413" i="4"/>
  <c r="F428" i="4"/>
  <c r="E428" i="4"/>
  <c r="D428" i="4"/>
  <c r="F445" i="4"/>
  <c r="E445" i="4"/>
  <c r="D445" i="4"/>
  <c r="E475" i="4"/>
  <c r="D487" i="4"/>
  <c r="C487" i="4"/>
  <c r="F487" i="4"/>
  <c r="E487" i="4"/>
  <c r="F497" i="4"/>
  <c r="F573" i="4"/>
  <c r="E573" i="4"/>
  <c r="D573" i="4"/>
  <c r="F640" i="4"/>
  <c r="E640" i="4"/>
  <c r="D640" i="4"/>
  <c r="F654" i="4"/>
  <c r="F658" i="4"/>
  <c r="F666" i="4"/>
  <c r="F667" i="4"/>
  <c r="C41" i="2"/>
  <c r="C45" i="2"/>
  <c r="C49" i="2"/>
  <c r="C53" i="2"/>
  <c r="D12" i="4"/>
  <c r="C12" i="4"/>
  <c r="C17" i="4"/>
  <c r="F29" i="4"/>
  <c r="E29" i="4"/>
  <c r="E32" i="4"/>
  <c r="C34" i="4"/>
  <c r="D44" i="4"/>
  <c r="C44" i="4"/>
  <c r="C49" i="4"/>
  <c r="F52" i="4"/>
  <c r="D54" i="4"/>
  <c r="D61" i="4"/>
  <c r="C65" i="4"/>
  <c r="F69" i="4"/>
  <c r="E69" i="4"/>
  <c r="F76" i="4"/>
  <c r="E80" i="4"/>
  <c r="D80" i="4"/>
  <c r="C80" i="4"/>
  <c r="D82" i="4"/>
  <c r="C86" i="4"/>
  <c r="D93" i="4"/>
  <c r="C97" i="4"/>
  <c r="F101" i="4"/>
  <c r="E101" i="4"/>
  <c r="F108" i="4"/>
  <c r="E112" i="4"/>
  <c r="D112" i="4"/>
  <c r="C112" i="4"/>
  <c r="D114" i="4"/>
  <c r="C118" i="4"/>
  <c r="D125" i="4"/>
  <c r="C129" i="4"/>
  <c r="F133" i="4"/>
  <c r="E133" i="4"/>
  <c r="F140" i="4"/>
  <c r="E142" i="4"/>
  <c r="E144" i="4"/>
  <c r="D144" i="4"/>
  <c r="C144" i="4"/>
  <c r="D146" i="4"/>
  <c r="C150" i="4"/>
  <c r="D157" i="4"/>
  <c r="C161" i="4"/>
  <c r="F165" i="4"/>
  <c r="E165" i="4"/>
  <c r="F173" i="4"/>
  <c r="E173" i="4"/>
  <c r="D173" i="4"/>
  <c r="C177" i="4"/>
  <c r="F182" i="4"/>
  <c r="C186" i="4"/>
  <c r="D190" i="4"/>
  <c r="E194" i="4"/>
  <c r="F205" i="4"/>
  <c r="E205" i="4"/>
  <c r="D205" i="4"/>
  <c r="C209" i="4"/>
  <c r="F214" i="4"/>
  <c r="C218" i="4"/>
  <c r="D222" i="4"/>
  <c r="E226" i="4"/>
  <c r="F237" i="4"/>
  <c r="E237" i="4"/>
  <c r="D237" i="4"/>
  <c r="C241" i="4"/>
  <c r="F246" i="4"/>
  <c r="C250" i="4"/>
  <c r="D254" i="4"/>
  <c r="E258" i="4"/>
  <c r="F269" i="4"/>
  <c r="E269" i="4"/>
  <c r="D269" i="4"/>
  <c r="C273" i="4"/>
  <c r="F278" i="4"/>
  <c r="C282" i="4"/>
  <c r="D286" i="4"/>
  <c r="F293" i="4"/>
  <c r="E293" i="4"/>
  <c r="D293" i="4"/>
  <c r="C293" i="4"/>
  <c r="F301" i="4"/>
  <c r="E301" i="4"/>
  <c r="D301" i="4"/>
  <c r="C301" i="4"/>
  <c r="F309" i="4"/>
  <c r="E309" i="4"/>
  <c r="D309" i="4"/>
  <c r="C309" i="4"/>
  <c r="F317" i="4"/>
  <c r="E317" i="4"/>
  <c r="D317" i="4"/>
  <c r="C317" i="4"/>
  <c r="F325" i="4"/>
  <c r="E325" i="4"/>
  <c r="D325" i="4"/>
  <c r="C325" i="4"/>
  <c r="F333" i="4"/>
  <c r="E333" i="4"/>
  <c r="D333" i="4"/>
  <c r="C333" i="4"/>
  <c r="C341" i="4"/>
  <c r="E344" i="4"/>
  <c r="F344" i="4"/>
  <c r="D344" i="4"/>
  <c r="F349" i="4"/>
  <c r="F358" i="4"/>
  <c r="E358" i="4"/>
  <c r="D358" i="4"/>
  <c r="C358" i="4"/>
  <c r="C376" i="4"/>
  <c r="C379" i="4"/>
  <c r="F379" i="4"/>
  <c r="E379" i="4"/>
  <c r="F382" i="4"/>
  <c r="E382" i="4"/>
  <c r="F405" i="4"/>
  <c r="E405" i="4"/>
  <c r="D405" i="4"/>
  <c r="E408" i="4"/>
  <c r="F408" i="4"/>
  <c r="D408" i="4"/>
  <c r="C428" i="4"/>
  <c r="C445" i="4"/>
  <c r="F460" i="4"/>
  <c r="E460" i="4"/>
  <c r="D460" i="4"/>
  <c r="D507" i="4"/>
  <c r="C507" i="4"/>
  <c r="F507" i="4"/>
  <c r="F533" i="4"/>
  <c r="F536" i="4"/>
  <c r="E536" i="4"/>
  <c r="D536" i="4"/>
  <c r="C536" i="4"/>
  <c r="F553" i="4"/>
  <c r="E553" i="4"/>
  <c r="D553" i="4"/>
  <c r="C553" i="4"/>
  <c r="C573" i="4"/>
  <c r="F636" i="4"/>
  <c r="E636" i="4"/>
  <c r="D636" i="4"/>
  <c r="C636" i="4"/>
  <c r="C640" i="4"/>
  <c r="F650" i="4"/>
  <c r="D41" i="2"/>
  <c r="D45" i="2"/>
  <c r="D49" i="2"/>
  <c r="D53" i="2"/>
  <c r="F9" i="4"/>
  <c r="E9" i="4"/>
  <c r="D17" i="4"/>
  <c r="D24" i="4"/>
  <c r="C24" i="4"/>
  <c r="F32" i="4"/>
  <c r="D34" i="4"/>
  <c r="F41" i="4"/>
  <c r="E41" i="4"/>
  <c r="D49" i="4"/>
  <c r="E54" i="4"/>
  <c r="D56" i="4"/>
  <c r="C56" i="4"/>
  <c r="D65" i="4"/>
  <c r="F73" i="4"/>
  <c r="E73" i="4"/>
  <c r="E82" i="4"/>
  <c r="E84" i="4"/>
  <c r="D84" i="4"/>
  <c r="C84" i="4"/>
  <c r="D86" i="4"/>
  <c r="D97" i="4"/>
  <c r="F105" i="4"/>
  <c r="E105" i="4"/>
  <c r="E114" i="4"/>
  <c r="E116" i="4"/>
  <c r="D116" i="4"/>
  <c r="C116" i="4"/>
  <c r="D118" i="4"/>
  <c r="D129" i="4"/>
  <c r="F137" i="4"/>
  <c r="E137" i="4"/>
  <c r="E146" i="4"/>
  <c r="E148" i="4"/>
  <c r="D148" i="4"/>
  <c r="C148" i="4"/>
  <c r="D150" i="4"/>
  <c r="D161" i="4"/>
  <c r="F169" i="4"/>
  <c r="E169" i="4"/>
  <c r="D169" i="4"/>
  <c r="F178" i="4"/>
  <c r="D186" i="4"/>
  <c r="E190" i="4"/>
  <c r="F201" i="4"/>
  <c r="E201" i="4"/>
  <c r="D201" i="4"/>
  <c r="F210" i="4"/>
  <c r="D218" i="4"/>
  <c r="E222" i="4"/>
  <c r="F233" i="4"/>
  <c r="E233" i="4"/>
  <c r="D233" i="4"/>
  <c r="F242" i="4"/>
  <c r="D250" i="4"/>
  <c r="E254" i="4"/>
  <c r="F265" i="4"/>
  <c r="E265" i="4"/>
  <c r="D265" i="4"/>
  <c r="F274" i="4"/>
  <c r="C278" i="4"/>
  <c r="D282" i="4"/>
  <c r="E286" i="4"/>
  <c r="F294" i="4"/>
  <c r="E294" i="4"/>
  <c r="F302" i="4"/>
  <c r="E302" i="4"/>
  <c r="F310" i="4"/>
  <c r="E310" i="4"/>
  <c r="F318" i="4"/>
  <c r="E318" i="4"/>
  <c r="F326" i="4"/>
  <c r="E326" i="4"/>
  <c r="F334" i="4"/>
  <c r="E334" i="4"/>
  <c r="C344" i="4"/>
  <c r="C347" i="4"/>
  <c r="F347" i="4"/>
  <c r="E347" i="4"/>
  <c r="F350" i="4"/>
  <c r="E350" i="4"/>
  <c r="C359" i="4"/>
  <c r="F359" i="4"/>
  <c r="D379" i="4"/>
  <c r="C382" i="4"/>
  <c r="F385" i="4"/>
  <c r="F402" i="4"/>
  <c r="E402" i="4"/>
  <c r="D402" i="4"/>
  <c r="C405" i="4"/>
  <c r="C408" i="4"/>
  <c r="F425" i="4"/>
  <c r="E425" i="4"/>
  <c r="D425" i="4"/>
  <c r="C425" i="4"/>
  <c r="C460" i="4"/>
  <c r="F477" i="4"/>
  <c r="E477" i="4"/>
  <c r="D477" i="4"/>
  <c r="E507" i="4"/>
  <c r="D519" i="4"/>
  <c r="C519" i="4"/>
  <c r="F519" i="4"/>
  <c r="E519" i="4"/>
  <c r="F529" i="4"/>
  <c r="F645" i="4"/>
  <c r="E645" i="4"/>
  <c r="D645" i="4"/>
  <c r="C645" i="4"/>
  <c r="D4" i="4"/>
  <c r="C4" i="4"/>
  <c r="C9" i="4"/>
  <c r="F21" i="4"/>
  <c r="E21" i="4"/>
  <c r="E24" i="4"/>
  <c r="D36" i="4"/>
  <c r="C36" i="4"/>
  <c r="C41" i="4"/>
  <c r="F53" i="4"/>
  <c r="E53" i="4"/>
  <c r="E56" i="4"/>
  <c r="C73" i="4"/>
  <c r="F77" i="4"/>
  <c r="E77" i="4"/>
  <c r="F84" i="4"/>
  <c r="E88" i="4"/>
  <c r="D88" i="4"/>
  <c r="C88" i="4"/>
  <c r="F109" i="4"/>
  <c r="E109" i="4"/>
  <c r="E120" i="4"/>
  <c r="D120" i="4"/>
  <c r="C120" i="4"/>
  <c r="F141" i="4"/>
  <c r="E141" i="4"/>
  <c r="E152" i="4"/>
  <c r="D152" i="4"/>
  <c r="C152" i="4"/>
  <c r="F174" i="4"/>
  <c r="E186" i="4"/>
  <c r="F197" i="4"/>
  <c r="E197" i="4"/>
  <c r="D197" i="4"/>
  <c r="F206" i="4"/>
  <c r="E218" i="4"/>
  <c r="F229" i="4"/>
  <c r="E229" i="4"/>
  <c r="D229" i="4"/>
  <c r="F238" i="4"/>
  <c r="E250" i="4"/>
  <c r="F261" i="4"/>
  <c r="E261" i="4"/>
  <c r="D261" i="4"/>
  <c r="F270" i="4"/>
  <c r="E282" i="4"/>
  <c r="C318" i="4"/>
  <c r="C326" i="4"/>
  <c r="C334" i="4"/>
  <c r="D347" i="4"/>
  <c r="C350" i="4"/>
  <c r="F353" i="4"/>
  <c r="E353" i="4"/>
  <c r="E356" i="4"/>
  <c r="F356" i="4"/>
  <c r="D359" i="4"/>
  <c r="D382" i="4"/>
  <c r="C402" i="4"/>
  <c r="F437" i="4"/>
  <c r="F440" i="4"/>
  <c r="E440" i="4"/>
  <c r="D440" i="4"/>
  <c r="C440" i="4"/>
  <c r="F457" i="4"/>
  <c r="E457" i="4"/>
  <c r="D457" i="4"/>
  <c r="C457" i="4"/>
  <c r="F492" i="4"/>
  <c r="E492" i="4"/>
  <c r="D492" i="4"/>
  <c r="D539" i="4"/>
  <c r="C539" i="4"/>
  <c r="F539" i="4"/>
  <c r="F565" i="4"/>
  <c r="F568" i="4"/>
  <c r="E568" i="4"/>
  <c r="D568" i="4"/>
  <c r="C568" i="4"/>
  <c r="F649" i="4"/>
  <c r="E649" i="4"/>
  <c r="D649" i="4"/>
  <c r="F416" i="4"/>
  <c r="E416" i="4"/>
  <c r="D431" i="4"/>
  <c r="C431" i="4"/>
  <c r="F448" i="4"/>
  <c r="E448" i="4"/>
  <c r="D463" i="4"/>
  <c r="C463" i="4"/>
  <c r="F480" i="4"/>
  <c r="E480" i="4"/>
  <c r="D495" i="4"/>
  <c r="C495" i="4"/>
  <c r="F512" i="4"/>
  <c r="E512" i="4"/>
  <c r="D527" i="4"/>
  <c r="C527" i="4"/>
  <c r="F544" i="4"/>
  <c r="E544" i="4"/>
  <c r="D559" i="4"/>
  <c r="C559" i="4"/>
  <c r="F576" i="4"/>
  <c r="E576" i="4"/>
  <c r="F577" i="4"/>
  <c r="F589" i="4"/>
  <c r="F612" i="4"/>
  <c r="E612" i="4"/>
  <c r="D612" i="4"/>
  <c r="F621" i="4"/>
  <c r="F644" i="4"/>
  <c r="E644" i="4"/>
  <c r="D644" i="4"/>
  <c r="F653" i="4"/>
  <c r="E385" i="4"/>
  <c r="F388" i="4"/>
  <c r="F391" i="4"/>
  <c r="F420" i="4"/>
  <c r="E420" i="4"/>
  <c r="E433" i="4"/>
  <c r="D435" i="4"/>
  <c r="C435" i="4"/>
  <c r="F452" i="4"/>
  <c r="E452" i="4"/>
  <c r="D467" i="4"/>
  <c r="C467" i="4"/>
  <c r="F484" i="4"/>
  <c r="E484" i="4"/>
  <c r="D499" i="4"/>
  <c r="C499" i="4"/>
  <c r="F516" i="4"/>
  <c r="E516" i="4"/>
  <c r="D531" i="4"/>
  <c r="C531" i="4"/>
  <c r="F548" i="4"/>
  <c r="E548" i="4"/>
  <c r="D563" i="4"/>
  <c r="C563" i="4"/>
  <c r="F580" i="4"/>
  <c r="E580" i="4"/>
  <c r="F600" i="4"/>
  <c r="E600" i="4"/>
  <c r="D600" i="4"/>
  <c r="F609" i="4"/>
  <c r="F632" i="4"/>
  <c r="E632" i="4"/>
  <c r="D632" i="4"/>
  <c r="F641" i="4"/>
  <c r="F664" i="4"/>
  <c r="E664" i="4"/>
  <c r="D664" i="4"/>
  <c r="C346" i="4"/>
  <c r="C349" i="4"/>
  <c r="C352" i="4"/>
  <c r="D355" i="4"/>
  <c r="C378" i="4"/>
  <c r="C381" i="4"/>
  <c r="C384" i="4"/>
  <c r="D387" i="4"/>
  <c r="D415" i="4"/>
  <c r="C415" i="4"/>
  <c r="C420" i="4"/>
  <c r="F432" i="4"/>
  <c r="E432" i="4"/>
  <c r="E435" i="4"/>
  <c r="C437" i="4"/>
  <c r="D447" i="4"/>
  <c r="C447" i="4"/>
  <c r="C452" i="4"/>
  <c r="F464" i="4"/>
  <c r="E464" i="4"/>
  <c r="E467" i="4"/>
  <c r="C469" i="4"/>
  <c r="D479" i="4"/>
  <c r="C479" i="4"/>
  <c r="C484" i="4"/>
  <c r="F496" i="4"/>
  <c r="E496" i="4"/>
  <c r="E499" i="4"/>
  <c r="C501" i="4"/>
  <c r="D511" i="4"/>
  <c r="C511" i="4"/>
  <c r="C516" i="4"/>
  <c r="F528" i="4"/>
  <c r="E528" i="4"/>
  <c r="E531" i="4"/>
  <c r="C533" i="4"/>
  <c r="D543" i="4"/>
  <c r="C543" i="4"/>
  <c r="C548" i="4"/>
  <c r="F560" i="4"/>
  <c r="E560" i="4"/>
  <c r="E563" i="4"/>
  <c r="C565" i="4"/>
  <c r="D575" i="4"/>
  <c r="C575" i="4"/>
  <c r="C580" i="4"/>
  <c r="F596" i="4"/>
  <c r="E596" i="4"/>
  <c r="D596" i="4"/>
  <c r="C600" i="4"/>
  <c r="F605" i="4"/>
  <c r="C609" i="4"/>
  <c r="F628" i="4"/>
  <c r="E628" i="4"/>
  <c r="D628" i="4"/>
  <c r="C632" i="4"/>
  <c r="F637" i="4"/>
  <c r="C641" i="4"/>
  <c r="F660" i="4"/>
  <c r="E660" i="4"/>
  <c r="D660" i="4"/>
  <c r="C664" i="4"/>
  <c r="C168" i="4"/>
  <c r="C172" i="4"/>
  <c r="C176" i="4"/>
  <c r="C180" i="4"/>
  <c r="C184" i="4"/>
  <c r="C188" i="4"/>
  <c r="C192" i="4"/>
  <c r="C196" i="4"/>
  <c r="C200" i="4"/>
  <c r="C204" i="4"/>
  <c r="C208" i="4"/>
  <c r="C212" i="4"/>
  <c r="C216" i="4"/>
  <c r="C220" i="4"/>
  <c r="C224" i="4"/>
  <c r="C228" i="4"/>
  <c r="C232" i="4"/>
  <c r="C236" i="4"/>
  <c r="C240" i="4"/>
  <c r="C244" i="4"/>
  <c r="C248" i="4"/>
  <c r="C252" i="4"/>
  <c r="C256" i="4"/>
  <c r="C260" i="4"/>
  <c r="C264" i="4"/>
  <c r="C268" i="4"/>
  <c r="C272" i="4"/>
  <c r="C276" i="4"/>
  <c r="C280" i="4"/>
  <c r="C284" i="4"/>
  <c r="C288" i="4"/>
  <c r="C292" i="4"/>
  <c r="C296" i="4"/>
  <c r="C300" i="4"/>
  <c r="C304" i="4"/>
  <c r="C308" i="4"/>
  <c r="C312" i="4"/>
  <c r="C316" i="4"/>
  <c r="C320" i="4"/>
  <c r="C324" i="4"/>
  <c r="C328" i="4"/>
  <c r="C332" i="4"/>
  <c r="C336" i="4"/>
  <c r="C340" i="4"/>
  <c r="D343" i="4"/>
  <c r="D346" i="4"/>
  <c r="D349" i="4"/>
  <c r="D352" i="4"/>
  <c r="E355" i="4"/>
  <c r="C366" i="4"/>
  <c r="C369" i="4"/>
  <c r="C372" i="4"/>
  <c r="D375" i="4"/>
  <c r="D378" i="4"/>
  <c r="D381" i="4"/>
  <c r="D384" i="4"/>
  <c r="E387" i="4"/>
  <c r="C398" i="4"/>
  <c r="C401" i="4"/>
  <c r="C404" i="4"/>
  <c r="D407" i="4"/>
  <c r="F412" i="4"/>
  <c r="E412" i="4"/>
  <c r="E415" i="4"/>
  <c r="C417" i="4"/>
  <c r="D420" i="4"/>
  <c r="D427" i="4"/>
  <c r="C427" i="4"/>
  <c r="C432" i="4"/>
  <c r="F435" i="4"/>
  <c r="D437" i="4"/>
  <c r="F444" i="4"/>
  <c r="E444" i="4"/>
  <c r="E447" i="4"/>
  <c r="C449" i="4"/>
  <c r="D452" i="4"/>
  <c r="D459" i="4"/>
  <c r="C459" i="4"/>
  <c r="C464" i="4"/>
  <c r="F467" i="4"/>
  <c r="D469" i="4"/>
  <c r="F476" i="4"/>
  <c r="E476" i="4"/>
  <c r="E479" i="4"/>
  <c r="C481" i="4"/>
  <c r="D484" i="4"/>
  <c r="D491" i="4"/>
  <c r="C491" i="4"/>
  <c r="C496" i="4"/>
  <c r="F499" i="4"/>
  <c r="D501" i="4"/>
  <c r="F508" i="4"/>
  <c r="E508" i="4"/>
  <c r="E511" i="4"/>
  <c r="C513" i="4"/>
  <c r="D516" i="4"/>
  <c r="D523" i="4"/>
  <c r="C523" i="4"/>
  <c r="C528" i="4"/>
  <c r="F531" i="4"/>
  <c r="D533" i="4"/>
  <c r="F540" i="4"/>
  <c r="E540" i="4"/>
  <c r="E543" i="4"/>
  <c r="C545" i="4"/>
  <c r="D548" i="4"/>
  <c r="D555" i="4"/>
  <c r="C555" i="4"/>
  <c r="C560" i="4"/>
  <c r="F563" i="4"/>
  <c r="D565" i="4"/>
  <c r="F572" i="4"/>
  <c r="E572" i="4"/>
  <c r="E575" i="4"/>
  <c r="C577" i="4"/>
  <c r="D580" i="4"/>
  <c r="F584" i="4"/>
  <c r="E584" i="4"/>
  <c r="F592" i="4"/>
  <c r="E592" i="4"/>
  <c r="D592" i="4"/>
  <c r="C596" i="4"/>
  <c r="F601" i="4"/>
  <c r="C605" i="4"/>
  <c r="D609" i="4"/>
  <c r="F624" i="4"/>
  <c r="E624" i="4"/>
  <c r="D624" i="4"/>
  <c r="C628" i="4"/>
  <c r="F633" i="4"/>
  <c r="C637" i="4"/>
  <c r="D641" i="4"/>
  <c r="F656" i="4"/>
  <c r="E656" i="4"/>
  <c r="D656" i="4"/>
  <c r="C660" i="4"/>
  <c r="F665" i="4"/>
  <c r="D168" i="4"/>
  <c r="D172" i="4"/>
  <c r="D176" i="4"/>
  <c r="D180" i="4"/>
  <c r="D184" i="4"/>
  <c r="D188" i="4"/>
  <c r="D192" i="4"/>
  <c r="D196" i="4"/>
  <c r="D200" i="4"/>
  <c r="D204" i="4"/>
  <c r="D208" i="4"/>
  <c r="D212" i="4"/>
  <c r="D216" i="4"/>
  <c r="D220" i="4"/>
  <c r="D224" i="4"/>
  <c r="D228" i="4"/>
  <c r="D232" i="4"/>
  <c r="D236" i="4"/>
  <c r="D240" i="4"/>
  <c r="D244" i="4"/>
  <c r="D248" i="4"/>
  <c r="D252" i="4"/>
  <c r="D256" i="4"/>
  <c r="D260" i="4"/>
  <c r="D264" i="4"/>
  <c r="D268" i="4"/>
  <c r="D272" i="4"/>
  <c r="D276" i="4"/>
  <c r="D280" i="4"/>
  <c r="D284" i="4"/>
  <c r="D288" i="4"/>
  <c r="D292" i="4"/>
  <c r="D296" i="4"/>
  <c r="D300" i="4"/>
  <c r="D304" i="4"/>
  <c r="D308" i="4"/>
  <c r="D312" i="4"/>
  <c r="D316" i="4"/>
  <c r="D320" i="4"/>
  <c r="D324" i="4"/>
  <c r="D328" i="4"/>
  <c r="D332" i="4"/>
  <c r="D336" i="4"/>
  <c r="D340" i="4"/>
  <c r="E343" i="4"/>
  <c r="E346" i="4"/>
  <c r="E349" i="4"/>
  <c r="F352" i="4"/>
  <c r="C354" i="4"/>
  <c r="F355" i="4"/>
  <c r="C357" i="4"/>
  <c r="C360" i="4"/>
  <c r="D363" i="4"/>
  <c r="D366" i="4"/>
  <c r="D369" i="4"/>
  <c r="D372" i="4"/>
  <c r="E375" i="4"/>
  <c r="E378" i="4"/>
  <c r="E381" i="4"/>
  <c r="F384" i="4"/>
  <c r="C386" i="4"/>
  <c r="F387" i="4"/>
  <c r="C389" i="4"/>
  <c r="C392" i="4"/>
  <c r="D395" i="4"/>
  <c r="D398" i="4"/>
  <c r="D401" i="4"/>
  <c r="D404" i="4"/>
  <c r="E407" i="4"/>
  <c r="C412" i="4"/>
  <c r="F415" i="4"/>
  <c r="D417" i="4"/>
  <c r="F424" i="4"/>
  <c r="E424" i="4"/>
  <c r="E427" i="4"/>
  <c r="C429" i="4"/>
  <c r="D432" i="4"/>
  <c r="E437" i="4"/>
  <c r="D439" i="4"/>
  <c r="C439" i="4"/>
  <c r="C444" i="4"/>
  <c r="F447" i="4"/>
  <c r="D449" i="4"/>
  <c r="F456" i="4"/>
  <c r="E456" i="4"/>
  <c r="E459" i="4"/>
  <c r="C461" i="4"/>
  <c r="D464" i="4"/>
  <c r="E469" i="4"/>
  <c r="D471" i="4"/>
  <c r="C471" i="4"/>
  <c r="C476" i="4"/>
  <c r="F479" i="4"/>
  <c r="D481" i="4"/>
  <c r="F488" i="4"/>
  <c r="E488" i="4"/>
  <c r="E491" i="4"/>
  <c r="C493" i="4"/>
  <c r="D496" i="4"/>
  <c r="E501" i="4"/>
  <c r="D503" i="4"/>
  <c r="C503" i="4"/>
  <c r="C508" i="4"/>
  <c r="F511" i="4"/>
  <c r="D513" i="4"/>
  <c r="F520" i="4"/>
  <c r="E520" i="4"/>
  <c r="E523" i="4"/>
  <c r="C525" i="4"/>
  <c r="D528" i="4"/>
  <c r="E533" i="4"/>
  <c r="D535" i="4"/>
  <c r="C535" i="4"/>
  <c r="C540" i="4"/>
  <c r="F543" i="4"/>
  <c r="D545" i="4"/>
  <c r="F552" i="4"/>
  <c r="E552" i="4"/>
  <c r="E555" i="4"/>
  <c r="C557" i="4"/>
  <c r="D560" i="4"/>
  <c r="E565" i="4"/>
  <c r="D567" i="4"/>
  <c r="C567" i="4"/>
  <c r="C572" i="4"/>
  <c r="F575" i="4"/>
  <c r="D577" i="4"/>
  <c r="C584" i="4"/>
  <c r="F588" i="4"/>
  <c r="E588" i="4"/>
  <c r="D588" i="4"/>
  <c r="C592" i="4"/>
  <c r="F597" i="4"/>
  <c r="C601" i="4"/>
  <c r="D605" i="4"/>
  <c r="E609" i="4"/>
  <c r="F620" i="4"/>
  <c r="E620" i="4"/>
  <c r="D620" i="4"/>
  <c r="C624" i="4"/>
  <c r="F629" i="4"/>
  <c r="C633" i="4"/>
  <c r="D637" i="4"/>
  <c r="E641" i="4"/>
  <c r="F652" i="4"/>
  <c r="E652" i="4"/>
  <c r="D652" i="4"/>
  <c r="C656" i="4"/>
  <c r="F661" i="4"/>
  <c r="C665" i="4"/>
  <c r="F340" i="4"/>
  <c r="F343" i="4"/>
  <c r="D360" i="4"/>
  <c r="E363" i="4"/>
  <c r="F372" i="4"/>
  <c r="F375" i="4"/>
  <c r="D392" i="4"/>
  <c r="E395" i="4"/>
  <c r="F404" i="4"/>
  <c r="F407" i="4"/>
  <c r="D412" i="4"/>
  <c r="D419" i="4"/>
  <c r="C419" i="4"/>
  <c r="F427" i="4"/>
  <c r="F436" i="4"/>
  <c r="E436" i="4"/>
  <c r="D444" i="4"/>
  <c r="D451" i="4"/>
  <c r="C451" i="4"/>
  <c r="F459" i="4"/>
  <c r="F468" i="4"/>
  <c r="E468" i="4"/>
  <c r="D476" i="4"/>
  <c r="D483" i="4"/>
  <c r="C483" i="4"/>
  <c r="F491" i="4"/>
  <c r="F500" i="4"/>
  <c r="E500" i="4"/>
  <c r="D508" i="4"/>
  <c r="D515" i="4"/>
  <c r="C515" i="4"/>
  <c r="F523" i="4"/>
  <c r="F532" i="4"/>
  <c r="E532" i="4"/>
  <c r="D540" i="4"/>
  <c r="D547" i="4"/>
  <c r="C547" i="4"/>
  <c r="F555" i="4"/>
  <c r="F564" i="4"/>
  <c r="E564" i="4"/>
  <c r="D572" i="4"/>
  <c r="D579" i="4"/>
  <c r="C579" i="4"/>
  <c r="D584" i="4"/>
  <c r="F593" i="4"/>
  <c r="C597" i="4"/>
  <c r="D601" i="4"/>
  <c r="E605" i="4"/>
  <c r="F616" i="4"/>
  <c r="E616" i="4"/>
  <c r="D616" i="4"/>
  <c r="C620" i="4"/>
  <c r="F625" i="4"/>
  <c r="C629" i="4"/>
  <c r="D633" i="4"/>
  <c r="E637" i="4"/>
  <c r="F648" i="4"/>
  <c r="E648" i="4"/>
  <c r="D648" i="4"/>
  <c r="C652" i="4"/>
  <c r="F657" i="4"/>
  <c r="C661" i="4"/>
  <c r="D665" i="4"/>
  <c r="C587" i="4"/>
  <c r="C591" i="4"/>
  <c r="C595" i="4"/>
  <c r="C599" i="4"/>
  <c r="C603" i="4"/>
  <c r="C607" i="4"/>
  <c r="C611" i="4"/>
  <c r="C615" i="4"/>
  <c r="C619" i="4"/>
  <c r="C623" i="4"/>
  <c r="C627" i="4"/>
  <c r="C631" i="4"/>
  <c r="C635" i="4"/>
  <c r="C639" i="4"/>
  <c r="C643" i="4"/>
  <c r="C647" i="4"/>
  <c r="C651" i="4"/>
  <c r="C655" i="4"/>
  <c r="C659" i="4"/>
  <c r="C663" i="4"/>
  <c r="C667" i="4"/>
  <c r="D587" i="4"/>
  <c r="D591" i="4"/>
  <c r="D595" i="4"/>
  <c r="D599" i="4"/>
  <c r="D603" i="4"/>
  <c r="D607" i="4"/>
  <c r="D611" i="4"/>
  <c r="D615" i="4"/>
  <c r="D619" i="4"/>
  <c r="D623" i="4"/>
  <c r="D627" i="4"/>
  <c r="D631" i="4"/>
  <c r="D635" i="4"/>
  <c r="D639" i="4"/>
  <c r="D643" i="4"/>
  <c r="D647" i="4"/>
  <c r="D651" i="4"/>
  <c r="D655" i="4"/>
  <c r="D659" i="4"/>
  <c r="D663" i="4"/>
  <c r="D667" i="4"/>
  <c r="G54" i="2" l="1"/>
  <c r="G247" i="4"/>
  <c r="G195" i="4"/>
  <c r="G339" i="4"/>
  <c r="G474" i="4"/>
  <c r="G243" i="4"/>
  <c r="G502" i="4"/>
  <c r="G251" i="4"/>
  <c r="G371" i="4"/>
  <c r="G255" i="4"/>
  <c r="G426" i="4"/>
  <c r="G593" i="4"/>
  <c r="G561" i="4"/>
  <c r="G32" i="2"/>
  <c r="G621" i="4"/>
  <c r="G657" i="4"/>
  <c r="G642" i="4"/>
  <c r="G4" i="2"/>
  <c r="G259" i="4"/>
  <c r="G51" i="4"/>
  <c r="G441" i="4"/>
  <c r="G630" i="4"/>
  <c r="G43" i="2"/>
  <c r="G374" i="4"/>
  <c r="G345" i="4"/>
  <c r="G20" i="2"/>
  <c r="G6" i="2"/>
  <c r="G625" i="4"/>
  <c r="G574" i="4"/>
  <c r="G394" i="4"/>
  <c r="G79" i="4"/>
  <c r="G606" i="4"/>
  <c r="G517" i="4"/>
  <c r="G167" i="4"/>
  <c r="G131" i="4"/>
  <c r="G377" i="4"/>
  <c r="G99" i="4"/>
  <c r="G323" i="4"/>
  <c r="G231" i="4"/>
  <c r="G130" i="4"/>
  <c r="G594" i="4"/>
  <c r="G388" i="4"/>
  <c r="G653" i="4"/>
  <c r="G409" i="4"/>
  <c r="G227" i="4"/>
  <c r="G158" i="4"/>
  <c r="G122" i="4"/>
  <c r="G87" i="4"/>
  <c r="G270" i="4"/>
  <c r="G11" i="4"/>
  <c r="G38" i="4"/>
  <c r="G514" i="4"/>
  <c r="G319" i="4"/>
  <c r="G175" i="4"/>
  <c r="G46" i="4"/>
  <c r="G522" i="4"/>
  <c r="G42" i="4"/>
  <c r="G351" i="4"/>
  <c r="G589" i="4"/>
  <c r="G83" i="4"/>
  <c r="G38" i="2"/>
  <c r="G162" i="4"/>
  <c r="G59" i="4"/>
  <c r="G465" i="4"/>
  <c r="G62" i="4"/>
  <c r="G534" i="4"/>
  <c r="G143" i="4"/>
  <c r="G107" i="4"/>
  <c r="G211" i="4"/>
  <c r="G183" i="4"/>
  <c r="G39" i="4"/>
  <c r="G110" i="4"/>
  <c r="G450" i="4"/>
  <c r="G135" i="4"/>
  <c r="G389" i="4"/>
  <c r="G103" i="4"/>
  <c r="G438" i="4"/>
  <c r="G94" i="4"/>
  <c r="G18" i="2"/>
  <c r="G578" i="4"/>
  <c r="G14" i="4"/>
  <c r="G2" i="4"/>
  <c r="G518" i="4"/>
  <c r="G586" i="4"/>
  <c r="G494" i="4"/>
  <c r="G342" i="4"/>
  <c r="G199" i="4"/>
  <c r="G78" i="4"/>
  <c r="G133" i="4"/>
  <c r="G263" i="4"/>
  <c r="G529" i="4"/>
  <c r="G27" i="4"/>
  <c r="G31" i="2"/>
  <c r="G486" i="4"/>
  <c r="G614" i="4"/>
  <c r="G556" i="4"/>
  <c r="G266" i="4"/>
  <c r="G151" i="4"/>
  <c r="G95" i="4"/>
  <c r="G634" i="4"/>
  <c r="G66" i="4"/>
  <c r="G554" i="4"/>
  <c r="G30" i="2"/>
  <c r="G590" i="4"/>
  <c r="G291" i="4"/>
  <c r="G485" i="4"/>
  <c r="G327" i="4"/>
  <c r="G207" i="4"/>
  <c r="G386" i="4"/>
  <c r="G174" i="4"/>
  <c r="G182" i="4"/>
  <c r="G569" i="4"/>
  <c r="G546" i="4"/>
  <c r="G406" i="4"/>
  <c r="G368" i="4"/>
  <c r="G598" i="4"/>
  <c r="G588" i="4"/>
  <c r="G391" i="4"/>
  <c r="G187" i="4"/>
  <c r="G71" i="4"/>
  <c r="G322" i="4"/>
  <c r="G500" i="4"/>
  <c r="G338" i="4"/>
  <c r="G306" i="4"/>
  <c r="G8" i="2"/>
  <c r="G610" i="4"/>
  <c r="G430" i="4"/>
  <c r="G638" i="4"/>
  <c r="G34" i="2"/>
  <c r="G178" i="4"/>
  <c r="G658" i="4"/>
  <c r="G91" i="4"/>
  <c r="G458" i="4"/>
  <c r="G47" i="4"/>
  <c r="G287" i="4"/>
  <c r="G570" i="4"/>
  <c r="G397" i="4"/>
  <c r="G115" i="4"/>
  <c r="G10" i="2"/>
  <c r="G109" i="4"/>
  <c r="G258" i="4"/>
  <c r="G226" i="4"/>
  <c r="G69" i="4"/>
  <c r="G153" i="4"/>
  <c r="G123" i="4"/>
  <c r="G139" i="4"/>
  <c r="G111" i="4"/>
  <c r="G10" i="4"/>
  <c r="G315" i="4"/>
  <c r="G482" i="4"/>
  <c r="G206" i="4"/>
  <c r="G45" i="4"/>
  <c r="G40" i="2"/>
  <c r="G119" i="4"/>
  <c r="G513" i="4"/>
  <c r="G320" i="4"/>
  <c r="G288" i="4"/>
  <c r="G256" i="4"/>
  <c r="G224" i="4"/>
  <c r="G433" i="4"/>
  <c r="G246" i="4"/>
  <c r="G36" i="2"/>
  <c r="G307" i="4"/>
  <c r="G159" i="4"/>
  <c r="G279" i="4"/>
  <c r="G23" i="4"/>
  <c r="G526" i="4"/>
  <c r="G209" i="4"/>
  <c r="G274" i="4"/>
  <c r="G562" i="4"/>
  <c r="G434" i="4"/>
  <c r="G410" i="4"/>
  <c r="G581" i="4"/>
  <c r="G147" i="4"/>
  <c r="G67" i="4"/>
  <c r="G538" i="4"/>
  <c r="G3" i="4"/>
  <c r="G98" i="4"/>
  <c r="G602" i="4"/>
  <c r="G46" i="2"/>
  <c r="G242" i="4"/>
  <c r="G14" i="2"/>
  <c r="G335" i="4"/>
  <c r="G210" i="4"/>
  <c r="G510" i="4"/>
  <c r="G303" i="4"/>
  <c r="G219" i="4"/>
  <c r="G330" i="4"/>
  <c r="G298" i="4"/>
  <c r="G509" i="4"/>
  <c r="G271" i="4"/>
  <c r="G331" i="4"/>
  <c r="G90" i="4"/>
  <c r="G11" i="2"/>
  <c r="G223" i="4"/>
  <c r="G473" i="4"/>
  <c r="G453" i="4"/>
  <c r="G626" i="4"/>
  <c r="G414" i="4"/>
  <c r="G537" i="4"/>
  <c r="G418" i="4"/>
  <c r="G295" i="4"/>
  <c r="G58" i="4"/>
  <c r="G373" i="4"/>
  <c r="G480" i="4"/>
  <c r="G177" i="4"/>
  <c r="G497" i="4"/>
  <c r="G618" i="4"/>
  <c r="G478" i="4"/>
  <c r="G27" i="2"/>
  <c r="G490" i="4"/>
  <c r="G549" i="4"/>
  <c r="G185" i="4"/>
  <c r="G57" i="4"/>
  <c r="G55" i="2"/>
  <c r="G203" i="4"/>
  <c r="G154" i="4"/>
  <c r="G44" i="2"/>
  <c r="G563" i="4"/>
  <c r="G499" i="4"/>
  <c r="G435" i="4"/>
  <c r="G576" i="4"/>
  <c r="G197" i="4"/>
  <c r="G666" i="4"/>
  <c r="G267" i="4"/>
  <c r="G15" i="4"/>
  <c r="G505" i="4"/>
  <c r="G466" i="4"/>
  <c r="G446" i="4"/>
  <c r="G299" i="4"/>
  <c r="G7" i="4"/>
  <c r="G448" i="4"/>
  <c r="G137" i="4"/>
  <c r="G650" i="4"/>
  <c r="G12" i="2"/>
  <c r="G63" i="4"/>
  <c r="G239" i="4"/>
  <c r="G585" i="4"/>
  <c r="G42" i="2"/>
  <c r="G558" i="4"/>
  <c r="G362" i="4"/>
  <c r="G15" i="2"/>
  <c r="G462" i="4"/>
  <c r="G311" i="4"/>
  <c r="G356" i="4"/>
  <c r="G171" i="4"/>
  <c r="G436" i="4"/>
  <c r="G552" i="4"/>
  <c r="G503" i="4"/>
  <c r="G412" i="4"/>
  <c r="G192" i="4"/>
  <c r="G548" i="4"/>
  <c r="G559" i="4"/>
  <c r="G495" i="4"/>
  <c r="G380" i="4"/>
  <c r="G421" i="4"/>
  <c r="G215" i="4"/>
  <c r="G55" i="4"/>
  <c r="G662" i="4"/>
  <c r="G39" i="2"/>
  <c r="G283" i="4"/>
  <c r="G222" i="4"/>
  <c r="G422" i="4"/>
  <c r="G400" i="4"/>
  <c r="G281" i="4"/>
  <c r="G121" i="4"/>
  <c r="G170" i="4"/>
  <c r="G26" i="2"/>
  <c r="G214" i="4"/>
  <c r="G646" i="4"/>
  <c r="G566" i="4"/>
  <c r="G455" i="4"/>
  <c r="G477" i="4"/>
  <c r="G278" i="4"/>
  <c r="G550" i="4"/>
  <c r="G442" i="4"/>
  <c r="G648" i="4"/>
  <c r="G353" i="4"/>
  <c r="G310" i="4"/>
  <c r="G201" i="4"/>
  <c r="G105" i="4"/>
  <c r="G582" i="4"/>
  <c r="G31" i="4"/>
  <c r="G2" i="2"/>
  <c r="G348" i="4"/>
  <c r="G235" i="4"/>
  <c r="G191" i="4"/>
  <c r="G75" i="4"/>
  <c r="G238" i="4"/>
  <c r="G141" i="4"/>
  <c r="G302" i="4"/>
  <c r="G265" i="4"/>
  <c r="G28" i="2"/>
  <c r="G608" i="4"/>
  <c r="G365" i="4"/>
  <c r="G43" i="4"/>
  <c r="G163" i="4"/>
  <c r="G532" i="4"/>
  <c r="G402" i="4"/>
  <c r="G194" i="4"/>
  <c r="G165" i="4"/>
  <c r="G524" i="4"/>
  <c r="G290" i="4"/>
  <c r="G8" i="4"/>
  <c r="G24" i="2"/>
  <c r="G257" i="4"/>
  <c r="G126" i="4"/>
  <c r="G530" i="4"/>
  <c r="G498" i="4"/>
  <c r="G454" i="4"/>
  <c r="G127" i="4"/>
  <c r="G35" i="4"/>
  <c r="G19" i="2"/>
  <c r="G542" i="4"/>
  <c r="G50" i="2"/>
  <c r="G661" i="4"/>
  <c r="G629" i="4"/>
  <c r="G597" i="4"/>
  <c r="G512" i="4"/>
  <c r="G261" i="4"/>
  <c r="G654" i="4"/>
  <c r="G314" i="4"/>
  <c r="G217" i="4"/>
  <c r="G26" i="4"/>
  <c r="G16" i="2"/>
  <c r="G6" i="4"/>
  <c r="G622" i="4"/>
  <c r="G470" i="4"/>
  <c r="G155" i="4"/>
  <c r="G19" i="4"/>
  <c r="G506" i="4"/>
  <c r="G179" i="4"/>
  <c r="G52" i="2"/>
  <c r="G652" i="4"/>
  <c r="G620" i="4"/>
  <c r="G600" i="4"/>
  <c r="G385" i="4"/>
  <c r="G544" i="4"/>
  <c r="G492" i="4"/>
  <c r="G294" i="4"/>
  <c r="G428" i="4"/>
  <c r="G190" i="4"/>
  <c r="G157" i="4"/>
  <c r="G32" i="4"/>
  <c r="G617" i="4"/>
  <c r="G104" i="4"/>
  <c r="G189" i="4"/>
  <c r="G85" i="4"/>
  <c r="G399" i="4"/>
  <c r="G60" i="4"/>
  <c r="G16" i="4"/>
  <c r="G275" i="4"/>
  <c r="G616" i="4"/>
  <c r="G644" i="4"/>
  <c r="G649" i="4"/>
  <c r="G36" i="4"/>
  <c r="G241" i="4"/>
  <c r="G390" i="4"/>
  <c r="G113" i="4"/>
  <c r="G81" i="4"/>
  <c r="G142" i="4"/>
  <c r="G5" i="4"/>
  <c r="G461" i="4"/>
  <c r="G660" i="4"/>
  <c r="G387" i="4"/>
  <c r="G334" i="4"/>
  <c r="G77" i="4"/>
  <c r="G408" i="4"/>
  <c r="G116" i="4"/>
  <c r="G325" i="4"/>
  <c r="G309" i="4"/>
  <c r="G293" i="4"/>
  <c r="G269" i="4"/>
  <c r="G237" i="4"/>
  <c r="G205" i="4"/>
  <c r="G173" i="4"/>
  <c r="G129" i="4"/>
  <c r="G101" i="4"/>
  <c r="G49" i="4"/>
  <c r="G12" i="4"/>
  <c r="G181" i="4"/>
  <c r="G100" i="4"/>
  <c r="G134" i="4"/>
  <c r="G102" i="4"/>
  <c r="G289" i="4"/>
  <c r="G225" i="4"/>
  <c r="G7" i="2"/>
  <c r="G464" i="4"/>
  <c r="G511" i="4"/>
  <c r="G384" i="4"/>
  <c r="G144" i="4"/>
  <c r="G44" i="4"/>
  <c r="G213" i="4"/>
  <c r="G285" i="4"/>
  <c r="G37" i="2"/>
  <c r="G419" i="4"/>
  <c r="G572" i="4"/>
  <c r="G456" i="4"/>
  <c r="G664" i="4"/>
  <c r="G580" i="4"/>
  <c r="G543" i="4"/>
  <c r="G469" i="4"/>
  <c r="G416" i="4"/>
  <c r="G539" i="4"/>
  <c r="G73" i="4"/>
  <c r="G21" i="4"/>
  <c r="G169" i="4"/>
  <c r="G149" i="4"/>
  <c r="G25" i="4"/>
  <c r="G567" i="4"/>
  <c r="G612" i="4"/>
  <c r="G457" i="4"/>
  <c r="G229" i="4"/>
  <c r="G249" i="4"/>
  <c r="G33" i="2"/>
  <c r="G20" i="4"/>
  <c r="G564" i="4"/>
  <c r="G483" i="4"/>
  <c r="G355" i="4"/>
  <c r="G318" i="4"/>
  <c r="G53" i="4"/>
  <c r="G233" i="4"/>
  <c r="G536" i="4"/>
  <c r="G367" i="4"/>
  <c r="G234" i="4"/>
  <c r="G198" i="4"/>
  <c r="G164" i="4"/>
  <c r="G138" i="4"/>
  <c r="G117" i="4"/>
  <c r="G89" i="4"/>
  <c r="G40" i="4"/>
  <c r="G383" i="4"/>
  <c r="G403" i="4"/>
  <c r="G17" i="2"/>
  <c r="G48" i="2"/>
  <c r="G22" i="2"/>
  <c r="G51" i="2"/>
  <c r="G619" i="4"/>
  <c r="G633" i="4"/>
  <c r="G615" i="4"/>
  <c r="G166" i="4"/>
  <c r="G655" i="4"/>
  <c r="G623" i="4"/>
  <c r="G591" i="4"/>
  <c r="G508" i="4"/>
  <c r="G491" i="4"/>
  <c r="G324" i="4"/>
  <c r="G292" i="4"/>
  <c r="G260" i="4"/>
  <c r="G228" i="4"/>
  <c r="G196" i="4"/>
  <c r="G632" i="4"/>
  <c r="G516" i="4"/>
  <c r="G479" i="4"/>
  <c r="G463" i="4"/>
  <c r="G568" i="4"/>
  <c r="G152" i="4"/>
  <c r="G41" i="4"/>
  <c r="G382" i="4"/>
  <c r="G273" i="4"/>
  <c r="G150" i="4"/>
  <c r="G17" i="4"/>
  <c r="G413" i="4"/>
  <c r="G364" i="4"/>
  <c r="G68" i="4"/>
  <c r="G489" i="4"/>
  <c r="G35" i="2"/>
  <c r="G3" i="2"/>
  <c r="G22" i="4"/>
  <c r="G601" i="4"/>
  <c r="G459" i="4"/>
  <c r="G188" i="4"/>
  <c r="G379" i="4"/>
  <c r="G125" i="4"/>
  <c r="G70" i="4"/>
  <c r="G643" i="4"/>
  <c r="G611" i="4"/>
  <c r="G656" i="4"/>
  <c r="G624" i="4"/>
  <c r="G592" i="4"/>
  <c r="G476" i="4"/>
  <c r="G429" i="4"/>
  <c r="G360" i="4"/>
  <c r="G560" i="4"/>
  <c r="G481" i="4"/>
  <c r="G432" i="4"/>
  <c r="G407" i="4"/>
  <c r="G375" i="4"/>
  <c r="G343" i="4"/>
  <c r="G312" i="4"/>
  <c r="G280" i="4"/>
  <c r="G248" i="4"/>
  <c r="G216" i="4"/>
  <c r="G184" i="4"/>
  <c r="G575" i="4"/>
  <c r="G501" i="4"/>
  <c r="G378" i="4"/>
  <c r="G405" i="4"/>
  <c r="G84" i="4"/>
  <c r="G640" i="4"/>
  <c r="G507" i="4"/>
  <c r="G376" i="4"/>
  <c r="G118" i="4"/>
  <c r="G97" i="4"/>
  <c r="G370" i="4"/>
  <c r="G254" i="4"/>
  <c r="G140" i="4"/>
  <c r="G114" i="4"/>
  <c r="G93" i="4"/>
  <c r="G504" i="4"/>
  <c r="G136" i="4"/>
  <c r="G230" i="4"/>
  <c r="G423" i="4"/>
  <c r="G337" i="4"/>
  <c r="G321" i="4"/>
  <c r="G305" i="4"/>
  <c r="G202" i="4"/>
  <c r="G160" i="4"/>
  <c r="G128" i="4"/>
  <c r="G96" i="4"/>
  <c r="G64" i="4"/>
  <c r="G33" i="4"/>
  <c r="G551" i="4"/>
  <c r="G92" i="4"/>
  <c r="G47" i="2"/>
  <c r="G145" i="4"/>
  <c r="G525" i="4"/>
  <c r="G252" i="4"/>
  <c r="G146" i="4"/>
  <c r="G639" i="4"/>
  <c r="G607" i="4"/>
  <c r="G515" i="4"/>
  <c r="G520" i="4"/>
  <c r="G471" i="4"/>
  <c r="G357" i="4"/>
  <c r="G605" i="4"/>
  <c r="G555" i="4"/>
  <c r="G427" i="4"/>
  <c r="G404" i="4"/>
  <c r="G372" i="4"/>
  <c r="G340" i="4"/>
  <c r="G308" i="4"/>
  <c r="G276" i="4"/>
  <c r="G244" i="4"/>
  <c r="G212" i="4"/>
  <c r="G180" i="4"/>
  <c r="G609" i="4"/>
  <c r="G533" i="4"/>
  <c r="G326" i="4"/>
  <c r="G645" i="4"/>
  <c r="G56" i="4"/>
  <c r="G636" i="4"/>
  <c r="G445" i="4"/>
  <c r="G358" i="4"/>
  <c r="G341" i="4"/>
  <c r="G34" i="4"/>
  <c r="G53" i="2"/>
  <c r="G361" i="4"/>
  <c r="G286" i="4"/>
  <c r="G108" i="4"/>
  <c r="G82" i="4"/>
  <c r="G61" i="4"/>
  <c r="G475" i="4"/>
  <c r="G583" i="4"/>
  <c r="G262" i="4"/>
  <c r="G132" i="4"/>
  <c r="G106" i="4"/>
  <c r="G13" i="4"/>
  <c r="G472" i="4"/>
  <c r="G28" i="4"/>
  <c r="G411" i="4"/>
  <c r="G124" i="4"/>
  <c r="G25" i="2"/>
  <c r="G37" i="4"/>
  <c r="G587" i="4"/>
  <c r="G437" i="4"/>
  <c r="G647" i="4"/>
  <c r="G667" i="4"/>
  <c r="G635" i="4"/>
  <c r="G603" i="4"/>
  <c r="G547" i="4"/>
  <c r="G540" i="4"/>
  <c r="G493" i="4"/>
  <c r="G424" i="4"/>
  <c r="G637" i="4"/>
  <c r="G577" i="4"/>
  <c r="G528" i="4"/>
  <c r="G449" i="4"/>
  <c r="G401" i="4"/>
  <c r="G369" i="4"/>
  <c r="G336" i="4"/>
  <c r="G304" i="4"/>
  <c r="G272" i="4"/>
  <c r="G240" i="4"/>
  <c r="G208" i="4"/>
  <c r="G176" i="4"/>
  <c r="G565" i="4"/>
  <c r="G420" i="4"/>
  <c r="G352" i="4"/>
  <c r="G531" i="4"/>
  <c r="G467" i="4"/>
  <c r="G431" i="4"/>
  <c r="G460" i="4"/>
  <c r="G347" i="4"/>
  <c r="G24" i="4"/>
  <c r="G573" i="4"/>
  <c r="G333" i="4"/>
  <c r="G317" i="4"/>
  <c r="G301" i="4"/>
  <c r="G112" i="4"/>
  <c r="G86" i="4"/>
  <c r="G65" i="4"/>
  <c r="G49" i="2"/>
  <c r="G245" i="4"/>
  <c r="G76" i="4"/>
  <c r="G54" i="4"/>
  <c r="G613" i="4"/>
  <c r="G393" i="4"/>
  <c r="G221" i="4"/>
  <c r="G30" i="4"/>
  <c r="G443" i="4"/>
  <c r="G193" i="4"/>
  <c r="G156" i="4"/>
  <c r="G48" i="4"/>
  <c r="G5" i="2"/>
  <c r="G23" i="2"/>
  <c r="G651" i="4"/>
  <c r="G316" i="4"/>
  <c r="G381" i="4"/>
  <c r="G663" i="4"/>
  <c r="G631" i="4"/>
  <c r="G599" i="4"/>
  <c r="G579" i="4"/>
  <c r="G535" i="4"/>
  <c r="G444" i="4"/>
  <c r="G395" i="4"/>
  <c r="G354" i="4"/>
  <c r="G596" i="4"/>
  <c r="G523" i="4"/>
  <c r="G398" i="4"/>
  <c r="G366" i="4"/>
  <c r="G332" i="4"/>
  <c r="G300" i="4"/>
  <c r="G268" i="4"/>
  <c r="G236" i="4"/>
  <c r="G204" i="4"/>
  <c r="G172" i="4"/>
  <c r="G641" i="4"/>
  <c r="G452" i="4"/>
  <c r="G415" i="4"/>
  <c r="G349" i="4"/>
  <c r="G527" i="4"/>
  <c r="G88" i="4"/>
  <c r="G9" i="4"/>
  <c r="G425" i="4"/>
  <c r="G344" i="4"/>
  <c r="G553" i="4"/>
  <c r="G282" i="4"/>
  <c r="G250" i="4"/>
  <c r="G218" i="4"/>
  <c r="G186" i="4"/>
  <c r="G161" i="4"/>
  <c r="G29" i="4"/>
  <c r="G45" i="2"/>
  <c r="G487" i="4"/>
  <c r="G277" i="4"/>
  <c r="G541" i="4"/>
  <c r="G253" i="4"/>
  <c r="G74" i="4"/>
  <c r="G668" i="4"/>
  <c r="G571" i="4"/>
  <c r="G18" i="4"/>
  <c r="G21" i="2"/>
  <c r="G665" i="4"/>
  <c r="G72" i="4"/>
  <c r="G451" i="4"/>
  <c r="G363" i="4"/>
  <c r="G284" i="4"/>
  <c r="G220" i="4"/>
  <c r="G659" i="4"/>
  <c r="G627" i="4"/>
  <c r="G595" i="4"/>
  <c r="G468" i="4"/>
  <c r="G584" i="4"/>
  <c r="G557" i="4"/>
  <c r="G488" i="4"/>
  <c r="G439" i="4"/>
  <c r="G392" i="4"/>
  <c r="G628" i="4"/>
  <c r="G545" i="4"/>
  <c r="G496" i="4"/>
  <c r="G417" i="4"/>
  <c r="G328" i="4"/>
  <c r="G296" i="4"/>
  <c r="G264" i="4"/>
  <c r="G232" i="4"/>
  <c r="G200" i="4"/>
  <c r="G168" i="4"/>
  <c r="G484" i="4"/>
  <c r="G447" i="4"/>
  <c r="G346" i="4"/>
  <c r="G440" i="4"/>
  <c r="G350" i="4"/>
  <c r="G120" i="4"/>
  <c r="G4" i="4"/>
  <c r="G519" i="4"/>
  <c r="G359" i="4"/>
  <c r="G148" i="4"/>
  <c r="G80" i="4"/>
  <c r="G41" i="2"/>
  <c r="G521" i="4"/>
  <c r="G52" i="4"/>
  <c r="G604" i="4"/>
  <c r="G396" i="4"/>
  <c r="G329" i="4"/>
  <c r="G313" i="4"/>
  <c r="G297" i="4"/>
  <c r="G50" i="4"/>
  <c r="G29" i="2"/>
  <c r="D11" i="3"/>
  <c r="E11" i="3" s="1"/>
  <c r="D7" i="3"/>
  <c r="E7" i="3" s="1"/>
  <c r="D3" i="3"/>
  <c r="E3" i="3" s="1"/>
  <c r="D13" i="3"/>
  <c r="E13" i="3" s="1"/>
  <c r="D4" i="3"/>
  <c r="E4" i="3" s="1"/>
  <c r="D8" i="3"/>
  <c r="E8" i="3" s="1"/>
  <c r="D12" i="3"/>
  <c r="E12" i="3" s="1"/>
  <c r="D2" i="3"/>
  <c r="D10" i="3"/>
  <c r="E10" i="3" s="1"/>
  <c r="D5" i="3"/>
  <c r="E5" i="3" s="1"/>
  <c r="D9" i="3"/>
  <c r="E9" i="3" s="1"/>
  <c r="D6" i="3"/>
  <c r="E6" i="3" s="1"/>
  <c r="G9" i="2"/>
  <c r="G13" i="2"/>
  <c r="E2" i="3" l="1"/>
</calcChain>
</file>

<file path=xl/sharedStrings.xml><?xml version="1.0" encoding="utf-8"?>
<sst xmlns="http://schemas.openxmlformats.org/spreadsheetml/2006/main" count="17521" uniqueCount="4469">
  <si>
    <t>Prodi</t>
  </si>
  <si>
    <t>Hari</t>
  </si>
  <si>
    <t>Jam</t>
  </si>
  <si>
    <t>Mata Kuliah</t>
  </si>
  <si>
    <t>Jenis/Kelas</t>
  </si>
  <si>
    <t>Penanggung Jawab</t>
  </si>
  <si>
    <t>Ruangan</t>
  </si>
  <si>
    <t>Kapasitas Ruangan</t>
  </si>
  <si>
    <t>Peserta</t>
  </si>
  <si>
    <t>Semester</t>
  </si>
  <si>
    <t>Kode Prodi</t>
  </si>
  <si>
    <t>Matkul Kelas</t>
  </si>
  <si>
    <t>A151 - Ilmu Tanah (TNH)</t>
  </si>
  <si>
    <t>Senin</t>
  </si>
  <si>
    <t>08:00 - 09:40</t>
  </si>
  <si>
    <t>TNH1503 - Topik khusus 1</t>
  </si>
  <si>
    <t>K/1</t>
  </si>
  <si>
    <t>Ruangan Disesuaikan</t>
  </si>
  <si>
    <t>A151 (TNH)</t>
  </si>
  <si>
    <t>08:00 - 10:00</t>
  </si>
  <si>
    <t>TNH1602 - Pengelolaan Sumberdaya Lahan</t>
  </si>
  <si>
    <t>Syaiful Anwar</t>
  </si>
  <si>
    <t>A151 (TNH), A156 (PWL)</t>
  </si>
  <si>
    <t>09:00 - 11:00</t>
  </si>
  <si>
    <t>TNH1605 - Topik Khusus 3</t>
  </si>
  <si>
    <t>10:00 - 11:40</t>
  </si>
  <si>
    <t>PWL1607 - Dinamika Agraria, Sosial dan Administrasi Pertanahan</t>
  </si>
  <si>
    <t>Budi Mulyanto</t>
  </si>
  <si>
    <t>14:00 - 16:30</t>
  </si>
  <si>
    <t>TNH1601 - Metodologi Penelitian</t>
  </si>
  <si>
    <t>Gunawan Djajakirana</t>
  </si>
  <si>
    <t>Selasa</t>
  </si>
  <si>
    <t>TNH1511 - Proses-proses Tanah</t>
  </si>
  <si>
    <t>Suwardi</t>
  </si>
  <si>
    <t>TNH1522 - Kesuburan Tanah Lanjut</t>
  </si>
  <si>
    <t>Suwarno</t>
  </si>
  <si>
    <t>13:00 - 15:30</t>
  </si>
  <si>
    <t>TNH1606 - Topik Khusus 4</t>
  </si>
  <si>
    <t>14:00 - 15:40</t>
  </si>
  <si>
    <t>TNH1612 - Evaluasi Lahan</t>
  </si>
  <si>
    <t>Darmawan</t>
  </si>
  <si>
    <t>Rabu</t>
  </si>
  <si>
    <t>07:00 - 09:30</t>
  </si>
  <si>
    <t>TNH1632 - Konservasi Tanah dan Air lanjut</t>
  </si>
  <si>
    <t>Enni Dwi Wahjunie</t>
  </si>
  <si>
    <t>TNH1607 - Topik Khusus 5</t>
  </si>
  <si>
    <t>TNH1642 - Ekologi Tanah Lanjut</t>
  </si>
  <si>
    <t>Kamis</t>
  </si>
  <si>
    <t>TNH1514 - Teknologi Remediasi dan Bahan Amelioran</t>
  </si>
  <si>
    <t>13:00 - 16:00</t>
  </si>
  <si>
    <t>P/1</t>
  </si>
  <si>
    <t>TNH1541 - Pengomposan Limbah Pertanian</t>
  </si>
  <si>
    <t>Jumat</t>
  </si>
  <si>
    <t>08:00 - 10:30</t>
  </si>
  <si>
    <t>TNH1633 - Ekohidrologi dan Pengelolaan Sumberdaya Air Berkelanjutan</t>
  </si>
  <si>
    <t>Yayat Hidayat</t>
  </si>
  <si>
    <t>TNH1621 - Pergerakan Hara dalam Sistem Tanah Tanaman</t>
  </si>
  <si>
    <t>Budi Nugroho</t>
  </si>
  <si>
    <t>A156 - Ilmu Perencanaan Wilayah (PWL)</t>
  </si>
  <si>
    <t>PWL1563 - Perencanaan Sarana dan Prasarana Wilayah</t>
  </si>
  <si>
    <t>Moh. Yanuar Jarwadi Purwanto</t>
  </si>
  <si>
    <t>A156 (PWL)</t>
  </si>
  <si>
    <t>PWL1604 - Kebencanaan Alam dan Mitigasi</t>
  </si>
  <si>
    <t>Boedi Tjahjono</t>
  </si>
  <si>
    <t>13:00 - 14:40</t>
  </si>
  <si>
    <t>PWD1503 - Sistem Spasial Ekonomi Wilayah</t>
  </si>
  <si>
    <t>Ernan Rustiadi</t>
  </si>
  <si>
    <t>A156 (PWL), H051 (PWD)</t>
  </si>
  <si>
    <t>PWL1651 - Penginderaan Jauh dan Sensor Darat</t>
  </si>
  <si>
    <t>Muhammad Ardiansyah</t>
  </si>
  <si>
    <t>PWL1606 - Pengelolaan Resiko Bencana</t>
  </si>
  <si>
    <t>Baba Barus</t>
  </si>
  <si>
    <t>PWL1608 - Pemelajaran Mesin dan Mahadata Spasial</t>
  </si>
  <si>
    <t>Bambang Hendro Trisasongko</t>
  </si>
  <si>
    <t>14:41 - 17:41</t>
  </si>
  <si>
    <t>PWL1601 - Metodologi Penelitian Spasial</t>
  </si>
  <si>
    <t>Widiatmaka</t>
  </si>
  <si>
    <t>PWL1654 - Pemodelan Geospasial</t>
  </si>
  <si>
    <t>PWL1565 - Teknik Valuasi Ekonomi Sumberdaya Wilayah</t>
  </si>
  <si>
    <t>Akhmad Fauzi</t>
  </si>
  <si>
    <t>PWL1631 - Pengelolaan DAS</t>
  </si>
  <si>
    <t>Suria Darma Tarigan</t>
  </si>
  <si>
    <t>TNH1635 - Permodelan DAS dan Jasa Ekosistem</t>
  </si>
  <si>
    <t>PWL1532 - Ketahanan Air</t>
  </si>
  <si>
    <t>Latief Mahir Rachman</t>
  </si>
  <si>
    <t>PWL1605 - Kerentanan dan Kapasitas Sosial Kebencanaan</t>
  </si>
  <si>
    <t>Euis Sunarti</t>
  </si>
  <si>
    <t>PWL1531 - Konservasi dan Pengelolaan Ekosistem Khusus</t>
  </si>
  <si>
    <t>PWL1603 - Teknik Analisis Geospasial</t>
  </si>
  <si>
    <t>Dyah Retno Panuju</t>
  </si>
  <si>
    <t>13:30 - 16:30</t>
  </si>
  <si>
    <t>A251 - Ilmu dan Teknologi Benih (ITB)</t>
  </si>
  <si>
    <t>07:00 - 10:00</t>
  </si>
  <si>
    <t>PTN1504 - Metodologi Penelitian dan Penulisan Ilmiah</t>
  </si>
  <si>
    <t>Elisabeth Sri Hendrastuti</t>
  </si>
  <si>
    <t>A352 (FIT)</t>
  </si>
  <si>
    <t>10:10 - 11:50</t>
  </si>
  <si>
    <t>RK. Pasca 2 Fitopatologi(FIT)</t>
  </si>
  <si>
    <t>ENT1601 - Sistem Pengendalian Hama Terpadu</t>
  </si>
  <si>
    <t>I Wayan Winasa</t>
  </si>
  <si>
    <t>A351 (ENT), A352 (FIT), A353 (PHT), A361 (ENT), A362 (FIT)</t>
  </si>
  <si>
    <t>15:00 - 16:40</t>
  </si>
  <si>
    <t>FIT1627 - Patogenesis Tumbuhan dan Respon Tanaman Inang</t>
  </si>
  <si>
    <t>Efi Toding Tondok</t>
  </si>
  <si>
    <t>RK Pasca 3 Dept. PTN</t>
  </si>
  <si>
    <t>FIT1623 - Bakteri Patogen Tumbuhan</t>
  </si>
  <si>
    <t>Giyanto</t>
  </si>
  <si>
    <t>FIT1624 - Cendawan Patogen Tumbuhan</t>
  </si>
  <si>
    <t>Widodo</t>
  </si>
  <si>
    <t>FIT1625 - Nematoda Patogen Tumbuhan</t>
  </si>
  <si>
    <t>Supramana</t>
  </si>
  <si>
    <t>A352 (FIT), A362 (FIT)</t>
  </si>
  <si>
    <t>FIT1626 - Virologi Patogen Tumbuhan</t>
  </si>
  <si>
    <t>Tri Asmira Damayanti</t>
  </si>
  <si>
    <t>16:10 - 17:50</t>
  </si>
  <si>
    <t>FIT1629 - Patologi Benih</t>
  </si>
  <si>
    <t>FIT1653 - Bioekologi Mikroba Endofit</t>
  </si>
  <si>
    <t>Abdul Munif</t>
  </si>
  <si>
    <t>Ruang Kuliah Pasca 1- PS PHT</t>
  </si>
  <si>
    <t>FIT1628 - Epidemiologi Penyakit Tumbuhan</t>
  </si>
  <si>
    <t>Kikin Hamzah Mutaqin</t>
  </si>
  <si>
    <t>08:10 - 09:40</t>
  </si>
  <si>
    <t>Ruang Kuliah Pasca 1 PS ENT</t>
  </si>
  <si>
    <t>ENT1501 - Pestisida dalam Pertanian</t>
  </si>
  <si>
    <t>Dadang</t>
  </si>
  <si>
    <t>A351 (ENT), A352 (FIT), A353 (PHT)</t>
  </si>
  <si>
    <t>A252 - Agronomi dan Holtikultura (AGH)</t>
  </si>
  <si>
    <t>AGH1628 - Fisiologi Cekaman Bagi Tanaman</t>
  </si>
  <si>
    <t>Didy Sopandie</t>
  </si>
  <si>
    <t>A252 (AGH)</t>
  </si>
  <si>
    <t>AGH1602 - Ekofisiologi Tanaman Tropika</t>
  </si>
  <si>
    <t>Maya Melati</t>
  </si>
  <si>
    <t>07:00 - 08:40</t>
  </si>
  <si>
    <t>AGH1624 - Fisiologi Pasca Panen</t>
  </si>
  <si>
    <t>Slamet Susanto</t>
  </si>
  <si>
    <t>11:00 - 14:00</t>
  </si>
  <si>
    <t>AGH1642 - Pengembangan Produksi Tanaman</t>
  </si>
  <si>
    <t>Ahmad Junaedi</t>
  </si>
  <si>
    <t>15:00 - 18:00</t>
  </si>
  <si>
    <t>08:00 - 09:00</t>
  </si>
  <si>
    <t>AGH1501 - Metodologi Penelitian</t>
  </si>
  <si>
    <t>Sandra Arifin Aziz</t>
  </si>
  <si>
    <t>RK. Pascasarjana-1 PS ITB</t>
  </si>
  <si>
    <t>A251 (ITB), A252 (AGH)</t>
  </si>
  <si>
    <t>P/2</t>
  </si>
  <si>
    <t>AGH1626 - Metabolisme Tanaman Lanjut</t>
  </si>
  <si>
    <t>Munif Ghulamahdi</t>
  </si>
  <si>
    <t>10:00 - 13:00</t>
  </si>
  <si>
    <t>AGH162E - Pengelolaan Limbah untuk Pertanian</t>
  </si>
  <si>
    <t>Herdhata Agusta</t>
  </si>
  <si>
    <t>14:40 - 17:40</t>
  </si>
  <si>
    <t>06:30 - 09:30</t>
  </si>
  <si>
    <t>AGH1503 - Hortikultura Lanjut</t>
  </si>
  <si>
    <t>Anas Dinurrohman Susila</t>
  </si>
  <si>
    <t>09:30 - 11:10</t>
  </si>
  <si>
    <t>K/2</t>
  </si>
  <si>
    <t>A253 - Pemuliaan dan Bioteknologi Tanaman (PBT)</t>
  </si>
  <si>
    <t>PBT1501 - Analisis Genetik Tanaman</t>
  </si>
  <si>
    <t>Sobir</t>
  </si>
  <si>
    <t>A253 (PBT)</t>
  </si>
  <si>
    <t>PBT1636 - Teknik Laboratorium dalam Bioteknologi Tanaman</t>
  </si>
  <si>
    <t>Sintho Wahyuning Ardie</t>
  </si>
  <si>
    <t>PBT1611 - Genetika Kuantitatif</t>
  </si>
  <si>
    <t>Yudiwanti Wahyu Endro Kusumo</t>
  </si>
  <si>
    <t>PBT1602 - Pemuliaan Tanaman</t>
  </si>
  <si>
    <t>Surjono Hadi Sutjahjo</t>
  </si>
  <si>
    <t>10:20 - 12:00</t>
  </si>
  <si>
    <t>PBT1633 - Rekayasa Genetika Tanaman</t>
  </si>
  <si>
    <t>Sudarsono</t>
  </si>
  <si>
    <t>PBT1615 - Pemuliaan Mutasi</t>
  </si>
  <si>
    <t>Syarifah Iis Aisyah</t>
  </si>
  <si>
    <t>PBT1603 - Analisis Seluler dalam Pemuliaan Tanaman</t>
  </si>
  <si>
    <t>Darda Efendi</t>
  </si>
  <si>
    <t>13:00 - 14:10</t>
  </si>
  <si>
    <t>PBT1635 - Biologi dan Fisiologi Sel Tanaman</t>
  </si>
  <si>
    <t>Dewi Sukma</t>
  </si>
  <si>
    <t>PBT1604 - Metode Penelitian dan Publikasi Ilmiah</t>
  </si>
  <si>
    <t>A351 - Entomologi (ENT)</t>
  </si>
  <si>
    <t>ENT1616 - Patologi Serangga</t>
  </si>
  <si>
    <t>R. Yayi Munara Kusumah</t>
  </si>
  <si>
    <t>A351 (ENT), A361 (ENT)</t>
  </si>
  <si>
    <t>PHT1537 - Pengendalian Terpadu Hama dan Penyakit Tanaman Perkebunan</t>
  </si>
  <si>
    <t>A351 (ENT), A353 (PHT)</t>
  </si>
  <si>
    <t>ENT1641 - Serangga Berguna dalam Pertanian dan Lingkungan</t>
  </si>
  <si>
    <t>Damayanti</t>
  </si>
  <si>
    <t>RK. Pasca 3 PS-ENT</t>
  </si>
  <si>
    <t>ENT1533 - Pengendalian Hayati Hama dan Penyakit Tumbuhan</t>
  </si>
  <si>
    <t>Suryo Wiyono</t>
  </si>
  <si>
    <t>A351 (ENT)</t>
  </si>
  <si>
    <t>PHT1538 - Ilmu dan Manajemen Vertebrate Hama</t>
  </si>
  <si>
    <t>Swastiko Priyambodo</t>
  </si>
  <si>
    <t>09:00 - 10:40</t>
  </si>
  <si>
    <t>ENT1613 - Pengendalian Hayati Hama Tumbuhan</t>
  </si>
  <si>
    <t>Pudjianto</t>
  </si>
  <si>
    <t>PHT1534 - Pengendalian Terpadu Hama Gudang, Industri, dan Permukiman</t>
  </si>
  <si>
    <t>Sabtu</t>
  </si>
  <si>
    <t>ENT1602 - Topik Khusus 1/ Capita Selecta</t>
  </si>
  <si>
    <t>A353 - Pengendalian Hama Terpadu (PHT)</t>
  </si>
  <si>
    <t>19:00 - 20:40</t>
  </si>
  <si>
    <t>PHT1503 - Biometrika Hama dan Penyakit Tumbuhan</t>
  </si>
  <si>
    <t>Ali Nurmansyah</t>
  </si>
  <si>
    <t>A353 (PHT)</t>
  </si>
  <si>
    <t>18:00 - 19:40</t>
  </si>
  <si>
    <t>PHT1533 - Pengendalian Hayati Hama dan Penyakit Tumbuhan</t>
  </si>
  <si>
    <t>PHT1535 - Ilmu Vertebrata Hama</t>
  </si>
  <si>
    <t>PHT1651 - Aplikasi Biomolekuler dalam Entomologi dan Fitopatologi</t>
  </si>
  <si>
    <t>19:00 - 21:00</t>
  </si>
  <si>
    <t>PHT1521 - Ilmu Penyakit Tumbuhan</t>
  </si>
  <si>
    <t>PHT1531 - Ilmu Hama Tumbuhan</t>
  </si>
  <si>
    <t>Idham Sakti Harahap</t>
  </si>
  <si>
    <t>16:00 - 17:40</t>
  </si>
  <si>
    <t>18:30 - 20:10</t>
  </si>
  <si>
    <t>A451 - Arsitektur Lanskap (ARL)</t>
  </si>
  <si>
    <t>ARL1636 - Kajian dan Pelestarian Lanskap Budaya</t>
  </si>
  <si>
    <t>Kaswanto</t>
  </si>
  <si>
    <t>RK PASCA ARL 20 ARL 405 A</t>
  </si>
  <si>
    <t>A451 (ARL)</t>
  </si>
  <si>
    <t>ARL1501 - Metodologi Penelitian Arsitektur Lanskap Lanjut</t>
  </si>
  <si>
    <t>Bambang Sulistyantara</t>
  </si>
  <si>
    <t>ARL1513 - Desain Lanskap Lanjut</t>
  </si>
  <si>
    <t>Andi Gunawan</t>
  </si>
  <si>
    <t>13:00 - 13:50</t>
  </si>
  <si>
    <t>ARL1603 - Analisis dan Pemodelan Lanskap</t>
  </si>
  <si>
    <t>Alinda Fitriany Malik Zain</t>
  </si>
  <si>
    <t>14:00 - 17:00</t>
  </si>
  <si>
    <t>ARL1626 - Ruang Terbuka Hijau Tematik</t>
  </si>
  <si>
    <t>Nizar Nasrullah</t>
  </si>
  <si>
    <t>ARL1611 - Perencanaan Lanskap Kawasan Wisata</t>
  </si>
  <si>
    <t>Afra Donatha Nimia Makalew</t>
  </si>
  <si>
    <t>ARL1633 - Ekologi Lanskap</t>
  </si>
  <si>
    <t>Syartinilia</t>
  </si>
  <si>
    <t>10:00 - 16:00</t>
  </si>
  <si>
    <t>ARL1602 - Proyek Studio Arsitektur Lanskap Berkelanjutan</t>
  </si>
  <si>
    <t>ARL1635 - Lanskap Perdesaan dan Pertanian</t>
  </si>
  <si>
    <t>Hadi Susilo Arifin</t>
  </si>
  <si>
    <t>13:30 - 15:10</t>
  </si>
  <si>
    <t>ARL1625 - Pohon Lanskap Perkotaan</t>
  </si>
  <si>
    <t>14:20 - 17:20</t>
  </si>
  <si>
    <t>B351 - Ilmu Biomedis Hewan (IBH)</t>
  </si>
  <si>
    <t>07:00 - 07:50</t>
  </si>
  <si>
    <t>SVB156A - Radiologi Veteriner Lanjut</t>
  </si>
  <si>
    <t>Deni Noviana</t>
  </si>
  <si>
    <t>B351 (IBH)</t>
  </si>
  <si>
    <t>08:30 - 10:20</t>
  </si>
  <si>
    <t>SVB1533 - Epidemiologi</t>
  </si>
  <si>
    <t>Etih Sudarnika</t>
  </si>
  <si>
    <t>SVB1505 - Topik Khusus Peminatan II</t>
  </si>
  <si>
    <t>SVB154A - Penyakit infeksius baru dan berulang</t>
  </si>
  <si>
    <t>Agustin Indrawati</t>
  </si>
  <si>
    <t>SVB1553 - Sitologi Reproduksi</t>
  </si>
  <si>
    <t>Mohamad Agus Setiadi</t>
  </si>
  <si>
    <t>SVB1551 - Fisiologi dan Endokrinologi Reproduksi</t>
  </si>
  <si>
    <t>Ligaya I.T.A. Tumbelaka</t>
  </si>
  <si>
    <t>SVB1569 - Anestesi Veteriner Lanjut</t>
  </si>
  <si>
    <t>10:30 - 13:00</t>
  </si>
  <si>
    <t>11:00 - 13:30</t>
  </si>
  <si>
    <t>13:00 - 15:00</t>
  </si>
  <si>
    <t>SVB1564 - Interaksi Obat dalam Farmasi Veteriner</t>
  </si>
  <si>
    <t>Ietje Wientarsih</t>
  </si>
  <si>
    <t>13:00 - 15:45</t>
  </si>
  <si>
    <t>13:30 - 16:00</t>
  </si>
  <si>
    <t>08:00 - 08:50</t>
  </si>
  <si>
    <t>SVB1543 - Imunologi Seluler dan Molekuler</t>
  </si>
  <si>
    <t>Okti Nadia Poetri</t>
  </si>
  <si>
    <t>SVB1522 - Teknik Parasitologi</t>
  </si>
  <si>
    <t>Susi Soviana</t>
  </si>
  <si>
    <t>SVB1565 - Penyakit Dalam Khusus</t>
  </si>
  <si>
    <t>Retno Wulansari</t>
  </si>
  <si>
    <t>09:00 - 09:50</t>
  </si>
  <si>
    <t>SVB1627 - Imunoparasitologi Parasit</t>
  </si>
  <si>
    <t>Risa Tiuria</t>
  </si>
  <si>
    <t>09:00 - 10:00</t>
  </si>
  <si>
    <t>SVB1556 - Inseminasi Buatan</t>
  </si>
  <si>
    <t>R. Iis Arifiantini</t>
  </si>
  <si>
    <t>SVB156D - Kultur Jaringan dan Analisa Genetika</t>
  </si>
  <si>
    <t>Sri Estuningsih</t>
  </si>
  <si>
    <t>09:00 - 11:30</t>
  </si>
  <si>
    <t>SVB1513 - Fisiologi Komparatif</t>
  </si>
  <si>
    <t>Aryani Sismin Satyaningtijas</t>
  </si>
  <si>
    <t>09:00 - 14:00</t>
  </si>
  <si>
    <t>SVB1595 - Topik Khusus Tugas Akhir I</t>
  </si>
  <si>
    <t>10:00 - 12:00</t>
  </si>
  <si>
    <t>SVB1552 - Diagnostik dan Instrumentasi Kedokteran</t>
  </si>
  <si>
    <t>10:00 - 12:30</t>
  </si>
  <si>
    <t>11:00 - 13:00</t>
  </si>
  <si>
    <t>SVB1561 - Bioetika dan Hewan Laboratorium</t>
  </si>
  <si>
    <t>Fitriya Nur Annisa Dewi</t>
  </si>
  <si>
    <t>SVB151C - Farmakologi Imunomodulator, Antikanker, dan Antimikrob</t>
  </si>
  <si>
    <t>Huda Shalahudin Darusman</t>
  </si>
  <si>
    <t>13:00 - 15:40</t>
  </si>
  <si>
    <t>13:30 - 15:30</t>
  </si>
  <si>
    <t>SVB1557 - Manajemen Reproduksi</t>
  </si>
  <si>
    <t>Bambang Purwantara</t>
  </si>
  <si>
    <t>SVB1626 - Parasitik Zoonotik</t>
  </si>
  <si>
    <t>Umi Cahyaningsih</t>
  </si>
  <si>
    <t>07:30 - 09:30</t>
  </si>
  <si>
    <t>STA1515 - Statistika untuk Ilmu-ilmu Kesehatan</t>
  </si>
  <si>
    <t>Erfiani</t>
  </si>
  <si>
    <t>SVB1625 - Pengendalian Helminth dan Protozoa Parasitik</t>
  </si>
  <si>
    <t>Fadjar Satrija</t>
  </si>
  <si>
    <t>08:30 - 16:00</t>
  </si>
  <si>
    <t>SVB1596 - Topik Khusus Tugas Akhir II</t>
  </si>
  <si>
    <t>SVB1555 - Kesehatan dan Penyakit Reproduksi</t>
  </si>
  <si>
    <t>Amrozi</t>
  </si>
  <si>
    <t>SVB1634 - Kesejahteraan Hewan dan Kehalalan Produk Hewan</t>
  </si>
  <si>
    <t>Herwin Pisestyani</t>
  </si>
  <si>
    <t>SVB1562 - Patofisiologi</t>
  </si>
  <si>
    <t>Setyo Widodo</t>
  </si>
  <si>
    <t>15:10 - 17:40</t>
  </si>
  <si>
    <t>SVB1545 - Prinsip dan Penerapan Keselamatan dan Keamanan Hayati</t>
  </si>
  <si>
    <t>Joko Pamungkas</t>
  </si>
  <si>
    <t>SVB156C - Mikrofotografi dan Digital Patologi</t>
  </si>
  <si>
    <t>Mawar Subangkit</t>
  </si>
  <si>
    <t>SVB1566 - Klinik &amp; Kimia Klinik Eksperimental</t>
  </si>
  <si>
    <t>Anita Esfandiari</t>
  </si>
  <si>
    <t>SVB1563 - Patogenesis Penyakit</t>
  </si>
  <si>
    <t>Agus Setiyono</t>
  </si>
  <si>
    <t>SVB1541 - Epizootiologi dan Analisis Risiko</t>
  </si>
  <si>
    <t>Eko Sugeng Pribadi</t>
  </si>
  <si>
    <t>SVB1521 - Bioekologi dan Klasifikasi Parasit</t>
  </si>
  <si>
    <t>Upik Kesumawati</t>
  </si>
  <si>
    <t>SVB1554 - Transfer Embrio dan Fertilisasi in vitro</t>
  </si>
  <si>
    <t>Iman Supriatna</t>
  </si>
  <si>
    <t>SVB1535 - Kesehatan Lingkungan</t>
  </si>
  <si>
    <t>Trioso Purnawarman</t>
  </si>
  <si>
    <t>11:00 - 14:30</t>
  </si>
  <si>
    <t>SVB1534 - Higiene Pangan dan Sanitary</t>
  </si>
  <si>
    <t>Denny Widaya Lukman</t>
  </si>
  <si>
    <t>SVB154G - Bioinformatika Medik</t>
  </si>
  <si>
    <t>Safika</t>
  </si>
  <si>
    <t>SVB1503 - Biomedis Veteriner</t>
  </si>
  <si>
    <t>Bambang Pontjo Priosoeryanto</t>
  </si>
  <si>
    <t>SVB1628 - Patofisiologi Helminth dan Protozoa Parasitik</t>
  </si>
  <si>
    <t>Yusuf Ridwan</t>
  </si>
  <si>
    <t>SVB151A - Analisis Khasiat dan Keamanan Bahan Alam</t>
  </si>
  <si>
    <t>Andriyanto</t>
  </si>
  <si>
    <t>SVB1568 - Bedah Eksperimental</t>
  </si>
  <si>
    <t>Riki Siswandi</t>
  </si>
  <si>
    <t>10:00 - 10:40</t>
  </si>
  <si>
    <t>SVB1502 - Filsafat Ilmu Kesehatan</t>
  </si>
  <si>
    <t>Arief Boediono</t>
  </si>
  <si>
    <t>SVB154E - Antibiotika dan Mekanisme Kerja</t>
  </si>
  <si>
    <t>13:15 - 15:00</t>
  </si>
  <si>
    <t>SVB1501 - Metodologi Penelitian Biomedis</t>
  </si>
  <si>
    <t>Wasmen Manalu</t>
  </si>
  <si>
    <t>SVB1546 - Teknik Produksi dan Evaluasi Bahan Biologik</t>
  </si>
  <si>
    <t>Sri Murtini</t>
  </si>
  <si>
    <t>C151 - Ilmu Akuakultur (AKU)</t>
  </si>
  <si>
    <t>AKU1651 - Engineering Ekologi Akuakultur</t>
  </si>
  <si>
    <t>Eddy Supriyono</t>
  </si>
  <si>
    <t>C151 (AKU)</t>
  </si>
  <si>
    <t>AKU1621 - Fisiologi Reproduksi Vertebrata Air</t>
  </si>
  <si>
    <t>Agus Oman Sudrajat</t>
  </si>
  <si>
    <t>AKU1641 - Patologi Ikan</t>
  </si>
  <si>
    <t>Sukenda</t>
  </si>
  <si>
    <t>R. eks Perpust Lt. 2 BDP</t>
  </si>
  <si>
    <t>AKU1623 - Ilmu dan Teknologi Hatchery Akuakultur</t>
  </si>
  <si>
    <t>AKU1522 - Fisiologi dan Tingkah Laku Larva</t>
  </si>
  <si>
    <t>Odang Carman</t>
  </si>
  <si>
    <t>AKU1691 - Kolokium</t>
  </si>
  <si>
    <t>Widanarni</t>
  </si>
  <si>
    <t>Lab. R. Bengkel</t>
  </si>
  <si>
    <t>AKU1642 - Imunoteknologi Akuakultur</t>
  </si>
  <si>
    <t>Munti Yuhana</t>
  </si>
  <si>
    <t>AKU1501 - Metode Penelitian Akuakultur</t>
  </si>
  <si>
    <t>Dinar Tri Soelistyowati</t>
  </si>
  <si>
    <t>13:00 - 14:41</t>
  </si>
  <si>
    <t>16:05 - 17:45</t>
  </si>
  <si>
    <t>AKU1622 - Genetika dan Seleksi Ikan</t>
  </si>
  <si>
    <t>AKU1611 - Pengembangan Akuakultur Berkelanjutan</t>
  </si>
  <si>
    <t>Tatag Budiardi</t>
  </si>
  <si>
    <t>AKU1612 - Manajemen Bisnis dan Regulasi Akuakultur</t>
  </si>
  <si>
    <t>Iis Diatin</t>
  </si>
  <si>
    <t>AKU1632 - Teknologi Pakan Akuakultur</t>
  </si>
  <si>
    <t>Mia Setiawati</t>
  </si>
  <si>
    <t>AKU1631 - Bioenergetika Ikan</t>
  </si>
  <si>
    <t>Julie Ekasari</t>
  </si>
  <si>
    <t>AKU1652 - Toksikologi Akuakultur</t>
  </si>
  <si>
    <t>C251 - Pengelolaan Sumber Daya Perairan (SDP)</t>
  </si>
  <si>
    <t>SDP1526 - Pengelolaan Spesies Asing Invasif</t>
  </si>
  <si>
    <t>Mohammad Mukhlis Kamal</t>
  </si>
  <si>
    <t>RD. SDP 1 (SDP)</t>
  </si>
  <si>
    <t>C251 (SDP)</t>
  </si>
  <si>
    <t>SDP1524 - Ekobiologi Krustasea dan Moluska</t>
  </si>
  <si>
    <t>Etty Riani</t>
  </si>
  <si>
    <t>10:00 - 10:50</t>
  </si>
  <si>
    <t>SDP1523 - Ekobiologi Ikan</t>
  </si>
  <si>
    <t>Sulistiono</t>
  </si>
  <si>
    <t>RK. SDP 1 (SDP)</t>
  </si>
  <si>
    <t>SDP1521 - Biodiversitas dan Konservasi Perairan</t>
  </si>
  <si>
    <t>SDP1623 - Mammalogi dan Herpetologi</t>
  </si>
  <si>
    <t>Djamar T. F. Lumban Batu</t>
  </si>
  <si>
    <t>RK. SDP 2 (SDP)</t>
  </si>
  <si>
    <t>SDP1502 - Pengelolan Sumberdaya Perairan dan Perikanan</t>
  </si>
  <si>
    <t>Sigid Hariyadi</t>
  </si>
  <si>
    <t>14:50 - 17:50</t>
  </si>
  <si>
    <t>SDP1501 - Metode Penelitian</t>
  </si>
  <si>
    <t>16:00 - 16:50</t>
  </si>
  <si>
    <t>SDP1512 - Produktivitas Perairan</t>
  </si>
  <si>
    <t>Majariana Krisanti</t>
  </si>
  <si>
    <t>Ruang Kuliah Sandwich Dept MSP (SPL)</t>
  </si>
  <si>
    <t>SDP1525 - Ekobiologi Larva Akuatik</t>
  </si>
  <si>
    <t>Charles Parningotan Haratua Simanjuntak</t>
  </si>
  <si>
    <t>SDP1636 - Genetika Populasi dan Molekuler</t>
  </si>
  <si>
    <t>Ali Mashar</t>
  </si>
  <si>
    <t>SDP1615 - Pengelolaan Danau dan Waduk</t>
  </si>
  <si>
    <t>C251 (SDP), C261 (SDP)</t>
  </si>
  <si>
    <t>SDP1621 - Ekotoksikologi Perairan Lanjutan</t>
  </si>
  <si>
    <t>SDP1522 - Ekofisiologi Hewan Air</t>
  </si>
  <si>
    <t>Ridwan</t>
  </si>
  <si>
    <t>Ruang Diskusi SPL (SPL)</t>
  </si>
  <si>
    <t>SDP1513 - Eutrofikasi Perairan</t>
  </si>
  <si>
    <t>Niken Tunjung Murti Pratiwi</t>
  </si>
  <si>
    <t>SDP1622 - Ekofisiologi Hewan Air Lanjutan</t>
  </si>
  <si>
    <t>SDP1628 - Konservasi Sumberdaya Ikan</t>
  </si>
  <si>
    <t>15:00 - 15:50</t>
  </si>
  <si>
    <t>SDP1631 - Model dan Simulasi Perikanan</t>
  </si>
  <si>
    <t>Rahmat Kurnia</t>
  </si>
  <si>
    <t>SDP1527 - Konservasi Mamalia dan Herpetofauna</t>
  </si>
  <si>
    <t>SDP1503 - Dinamika Populasi dan Ekosistem Perairan</t>
  </si>
  <si>
    <t>Zulhamsyah Imran</t>
  </si>
  <si>
    <t>SDP1633 - Pengkajian Stok Ikan</t>
  </si>
  <si>
    <t>Mennofatria Boer</t>
  </si>
  <si>
    <t>09:00 - 12:00</t>
  </si>
  <si>
    <t>SDP1514 - Pengelolan Pencemaran Perairan</t>
  </si>
  <si>
    <t>SDP1611 - Benthologi</t>
  </si>
  <si>
    <t>08:00 - 11:00</t>
  </si>
  <si>
    <t>C252 - Pengelolaan Sumberdaya Pesisir dan Lautan (SPL)</t>
  </si>
  <si>
    <t>SPL1613 - Perencanaan Spasial Pesisir dan Laut</t>
  </si>
  <si>
    <t>C252 (SPL), C262 (SPL)</t>
  </si>
  <si>
    <t>SPL1637 - Pengelolaan Pulau-Pulau Kecil</t>
  </si>
  <si>
    <t>Luky Adrianto</t>
  </si>
  <si>
    <t>C252 (SPL)</t>
  </si>
  <si>
    <t>SPL1621 - Sistem Ekologi Pesisir dan Laut</t>
  </si>
  <si>
    <t>Ario Damar</t>
  </si>
  <si>
    <t>SPL1638 - Sistem Sosial-Ekologi Sumberdaya Pesisir dan Laut</t>
  </si>
  <si>
    <t>SPL1624 - Pengelolaan Kawasan Teluk</t>
  </si>
  <si>
    <t>SPL1611 - Pencemaran Pesisir dan Laut</t>
  </si>
  <si>
    <t>Hefni Effendi</t>
  </si>
  <si>
    <t>SPL1501 - Metode Penelitian Sumberdaya Pesisir dan Lautan</t>
  </si>
  <si>
    <t>Zairion</t>
  </si>
  <si>
    <t>Ruang Diskusi SPL Dept MSP (SPL)</t>
  </si>
  <si>
    <t>SPL1612 - Resiko, Kerentanan, dan Risiliensi Pesisir dan Laut</t>
  </si>
  <si>
    <t>SPL1639 - Analisis Sistem dan Pemodelan Sumberdaya Pesisir dan Lautan</t>
  </si>
  <si>
    <t>SPL1636 - Kebijakan Pengelolaan Pesisir dan Laut</t>
  </si>
  <si>
    <t>SPL1631 - Pengelolaan Terpadu Sumberdaya Pesisir dan Lautan</t>
  </si>
  <si>
    <t>STA1512 - Statistika untuk Ilmu-ilmu Pertanian dan Biologi</t>
  </si>
  <si>
    <t>K/4</t>
  </si>
  <si>
    <t>Utami Dyah Syafitri</t>
  </si>
  <si>
    <t>RK. Pasca 404</t>
  </si>
  <si>
    <t>C252 (SPL), C351 (THP)</t>
  </si>
  <si>
    <t>SPL163A - Interaksi Multifaktor</t>
  </si>
  <si>
    <t>P/4</t>
  </si>
  <si>
    <t>SPL1632 - Jasa dan Valuasi Ekosistem Pesisir dan Laut</t>
  </si>
  <si>
    <t>SPL1614 - Pendayagunaan Pesisir dan Laut</t>
  </si>
  <si>
    <t>Bambang Widigdo</t>
  </si>
  <si>
    <t>SPL1634 - Optimasi Pengelolaan Sumberdaya Pesisir dan Laut</t>
  </si>
  <si>
    <t>SPL1635 - Pengelolaan Perikanan dengan Pendekatan Ekosistem</t>
  </si>
  <si>
    <t>Yonvitner</t>
  </si>
  <si>
    <t>SPL1622 - Konservasi Pesisir dan Laut</t>
  </si>
  <si>
    <t>Fredinan Yulianda</t>
  </si>
  <si>
    <t>13:30 - 14:20</t>
  </si>
  <si>
    <t>SPL1623 - Pengelolaan Ekowisata Pesisir dan Laut</t>
  </si>
  <si>
    <t>SPL1511 - Dinamika Pesisir dan Laut</t>
  </si>
  <si>
    <t>SPL1601 - Kapita Selekta Pengelolaan Sumberdaya Pesisir dan Laut</t>
  </si>
  <si>
    <t>C351 - Teknologi Hasil Perairan (THP)</t>
  </si>
  <si>
    <t>THP1601 - Metodologi Penelitian</t>
  </si>
  <si>
    <t>Kustiariyah</t>
  </si>
  <si>
    <t>RK. J2 (THP)</t>
  </si>
  <si>
    <t>C351 (THP)</t>
  </si>
  <si>
    <t>C351 (THP), C361 (THP)</t>
  </si>
  <si>
    <t>THP1535 - Teknologi Pengembangan Kitin-Kitosan</t>
  </si>
  <si>
    <t>Sugeng Heri Suseno</t>
  </si>
  <si>
    <t>THP1616 - Teknik Imunokimia Hasil Perairan</t>
  </si>
  <si>
    <t>Roni Nugraha</t>
  </si>
  <si>
    <t>THP1622 - Teknologi Bioremediasi Perairan</t>
  </si>
  <si>
    <t>THP1528 - Bioteknologi dan Kosmeseutika Hasil Laut</t>
  </si>
  <si>
    <t>Iriani Setyaningsih</t>
  </si>
  <si>
    <t>THP1512 - Enzim Hasil Perairan</t>
  </si>
  <si>
    <t>Tati Nurhayati</t>
  </si>
  <si>
    <t>THP151A - Karakteristik Bahan Baku Hasil Perairan</t>
  </si>
  <si>
    <t>Nurjanah</t>
  </si>
  <si>
    <t>THP1525 - Mikrobiologi Fermentasi Hasil Perairan</t>
  </si>
  <si>
    <t>Desniar</t>
  </si>
  <si>
    <t>THP1624 - Nutrasetika dan Farmasetika Hasil Perairan</t>
  </si>
  <si>
    <t>Sri Purwaningsih</t>
  </si>
  <si>
    <t>THP1502 - Teknologi Pengolahan Hasil Perairan Berkelanjutan</t>
  </si>
  <si>
    <t>08:00 - 14:00</t>
  </si>
  <si>
    <t>THP169B - Publikasi Ilmiah</t>
  </si>
  <si>
    <t>THP1639 - Teknologi Formulasi Hasil Perairan</t>
  </si>
  <si>
    <t>Wini Trilaksani</t>
  </si>
  <si>
    <t>THP1514 - Biomolekuler Hasil Perairan</t>
  </si>
  <si>
    <t>Mala Nurilmala</t>
  </si>
  <si>
    <t>THP1533 - Teknologi Industri Minyak Ikan</t>
  </si>
  <si>
    <t>THP1623 - Bioteknologi Mikroalga</t>
  </si>
  <si>
    <t>THP1634 - Standardisasi Hasil Perikanan</t>
  </si>
  <si>
    <t>THP1536 - Pengembangan Bioenergi Berbasis Biomassa Hasil Perairan</t>
  </si>
  <si>
    <t>Uju</t>
  </si>
  <si>
    <t>THP1615 - Pengembangan Desain Kit Deteksi Mutu dan Keamanan Bahan Baku Hasil Perairan</t>
  </si>
  <si>
    <t>Asadatun Abdullah</t>
  </si>
  <si>
    <t>THP1531 - Ilmu dan Teknologi Surimi</t>
  </si>
  <si>
    <t>Joko Santoso</t>
  </si>
  <si>
    <t>16:00 - 19:00</t>
  </si>
  <si>
    <t>C453 - Teknologi Perikanan Laut (TPL)</t>
  </si>
  <si>
    <t>TPL1522 - Teknologi Cerdas Alat Penangkapan Ikan</t>
  </si>
  <si>
    <t>Roza Yusfiandayani</t>
  </si>
  <si>
    <t>Ruang Trawler Pasca PSP</t>
  </si>
  <si>
    <t>C453 (TPL)</t>
  </si>
  <si>
    <t>TPL1533 - Kargo</t>
  </si>
  <si>
    <t>Budhi Hascaryo Iskandar</t>
  </si>
  <si>
    <t>Ruang Diskusi</t>
  </si>
  <si>
    <t>TPL1512 - Analisis Dinamika Daerah Penangkapan Ikan</t>
  </si>
  <si>
    <t>Domu Simbolon</t>
  </si>
  <si>
    <t>TPL1523 - Perikanan Tangkap Berkelanjutan</t>
  </si>
  <si>
    <t>Mulyono</t>
  </si>
  <si>
    <t>Ruang Kuliah. PASCA TPL (TPL)</t>
  </si>
  <si>
    <t>TPL1536 - Evaluasi Permesinan Kapal Perikanan</t>
  </si>
  <si>
    <t>Fis Purwangka</t>
  </si>
  <si>
    <t>Ruang Handliner</t>
  </si>
  <si>
    <t>TPL1521 - Desain dan Kontruksi Alat Penangkapan Ikan</t>
  </si>
  <si>
    <t>TPL1531 - Perencanaan Desain Kapal Perikanan</t>
  </si>
  <si>
    <t>Yopi Novita</t>
  </si>
  <si>
    <t>TPL1542 - Industri dan Kewilayahan Pelabuhan Perikanan</t>
  </si>
  <si>
    <t>Mustaruddin</t>
  </si>
  <si>
    <t>TPL1614 - Perencanaan dan Pengelolaan Daerah Penangkapan Ikan</t>
  </si>
  <si>
    <t>Muhammad Fedi Alfiadi Sondita</t>
  </si>
  <si>
    <t>C453 (TPL), C463 (TPL)</t>
  </si>
  <si>
    <t>TPL1553 - Analisis Hukum dan Peraturan Perundang-undangan Perikanan Tangkap</t>
  </si>
  <si>
    <t>TPL1532 - Analisis Transportasi Perikanan</t>
  </si>
  <si>
    <t>Vita Rumanti Kurniawati</t>
  </si>
  <si>
    <t>07:30 - 10:30</t>
  </si>
  <si>
    <t>TPL1552 - Teknik Analisis dan Optimasi Industri Perikanan Tangkap</t>
  </si>
  <si>
    <t>Tri Wiji Nurani</t>
  </si>
  <si>
    <t>10:40 - 12:20</t>
  </si>
  <si>
    <t>TPL1647 - Analisis Produksi dan Sistem Pendataan di Pelabuhanan</t>
  </si>
  <si>
    <t>TPL1545 - Pengelolaan Air Bersih dan Limbah Kepelabuhanan Perikanan</t>
  </si>
  <si>
    <t>Retno Muninggar</t>
  </si>
  <si>
    <t>TPL1543 - Pengembangan Industri dan Teknologi Fasilitas Kepelabuhanan</t>
  </si>
  <si>
    <t>Iin Solihin</t>
  </si>
  <si>
    <t>TPL1637 - Keselamatan Kerja Perikanan Laut</t>
  </si>
  <si>
    <t>C551 - Ilmu Kelautan (IKL)</t>
  </si>
  <si>
    <t>IKL1501 - Metode Penelitian</t>
  </si>
  <si>
    <t>Tri Prartono</t>
  </si>
  <si>
    <t>C551 (IKL)</t>
  </si>
  <si>
    <t>IKL1523 - Dinamika Pantai dan Estuari</t>
  </si>
  <si>
    <t>I Wayan Nurjaya</t>
  </si>
  <si>
    <t>IKL1526 - Oseanografi Bio-Geologi</t>
  </si>
  <si>
    <t>IKL1611 - Adaptasi dan Mitigasi Ekosistem Laut</t>
  </si>
  <si>
    <t>Dietriech Geoffrey Bengen</t>
  </si>
  <si>
    <t>IKL1621 - Pemodelan Laut</t>
  </si>
  <si>
    <t>Agus Saleh Atmadipoera</t>
  </si>
  <si>
    <t>IKL1625 - Oseanografi Perikanan</t>
  </si>
  <si>
    <t>IKL1515 - Rehabilitasi Ekosistem Laut</t>
  </si>
  <si>
    <t>Neviaty Putri Zamani</t>
  </si>
  <si>
    <t>IKL1626 - Dinamika Biogeokimia Laut</t>
  </si>
  <si>
    <t>IKL1624 - Pencemaran Laut dan Transfer Polutan</t>
  </si>
  <si>
    <t>IKL1612 - Analisis Filogenetik Organisme Laut</t>
  </si>
  <si>
    <t>Hawis H. M.</t>
  </si>
  <si>
    <t>IKL1627 - Analitik dan Instrumentasi Oseanografi Kimiawi</t>
  </si>
  <si>
    <t>Rastina</t>
  </si>
  <si>
    <t>15:00 - 17:00</t>
  </si>
  <si>
    <t>IKL1524 - Dinamika Fluida Geofisik Eksperimen</t>
  </si>
  <si>
    <t>IKL1514 - Bioprospeksi dan Remediasi Kelautan</t>
  </si>
  <si>
    <t>IKL1623 - Teori Sirkulasi Samudera</t>
  </si>
  <si>
    <t>IKL1527 - Geokimia Laut</t>
  </si>
  <si>
    <t>IKL1622 - Metode Analisis Data Kelautan</t>
  </si>
  <si>
    <t>C552 - Teknologi Kelautan (TEK)</t>
  </si>
  <si>
    <t>TEK1641 - Pengkajian Akurasi Pemetaan</t>
  </si>
  <si>
    <t>RK Pasca 2 (ITK)</t>
  </si>
  <si>
    <t>C552 (TEK)</t>
  </si>
  <si>
    <t>15:00 - 16:25</t>
  </si>
  <si>
    <t>TEK1634 - Sistem Siber-Fisik Kelautan</t>
  </si>
  <si>
    <t>Indra Jaya</t>
  </si>
  <si>
    <t>Lab Maritek (TEK)</t>
  </si>
  <si>
    <t>16:30 - 17:30</t>
  </si>
  <si>
    <t>TEK1541 - Penginderaan Jauh Kelautan</t>
  </si>
  <si>
    <t>Vincentius P. Siregar</t>
  </si>
  <si>
    <t>TEK1635 - Kecerdasan Buatan Kelautan</t>
  </si>
  <si>
    <t>RK. Pasca 1 (ITK)</t>
  </si>
  <si>
    <t>Lab Inderaja (TEK)</t>
  </si>
  <si>
    <t>11:00 - 12:00</t>
  </si>
  <si>
    <t>08:30 - 10:10</t>
  </si>
  <si>
    <t>TEK1506 - Teknologi Kelautan</t>
  </si>
  <si>
    <t>Jonson Lumban Gaol</t>
  </si>
  <si>
    <t>TEK1531 - Analisis Numerik Kelautan</t>
  </si>
  <si>
    <t>Henry Munandar Manik</t>
  </si>
  <si>
    <t>15:30 - 17:30</t>
  </si>
  <si>
    <t>TEK1647 - Pemodelan Spasial</t>
  </si>
  <si>
    <t>Syamsul Bahri Agus</t>
  </si>
  <si>
    <t>RK. Pasca 4 (ITK)</t>
  </si>
  <si>
    <t>TEK1642 - Algoritma Inderaja Kelautan</t>
  </si>
  <si>
    <t>Bisman Nababan</t>
  </si>
  <si>
    <t>TEK1632 - Akustik Perikanan</t>
  </si>
  <si>
    <t>D151 - Ilmu Produksi dan Teknologi Peternakan (ITP)</t>
  </si>
  <si>
    <t>ITP1512 - Sistem Produksi dan Ilmu Ternak Perah</t>
  </si>
  <si>
    <t>Afton Atabany</t>
  </si>
  <si>
    <t>D151 (ITP)</t>
  </si>
  <si>
    <t>ITP1521 - Pertumbuhan dan Perkembangan Tubuh Ternak Pedaging</t>
  </si>
  <si>
    <t>Rudy Priyanto</t>
  </si>
  <si>
    <t>ITP1532 - Sistem dan Rekayasa Penetasan</t>
  </si>
  <si>
    <t>Rudi Afnan</t>
  </si>
  <si>
    <t>ITP1534 - Sistem Produksi Unggas Air</t>
  </si>
  <si>
    <t>Niken Ulupi</t>
  </si>
  <si>
    <t>ITP1542 - Genetika Populasi Hewan/Ternak</t>
  </si>
  <si>
    <t>Ronny Rachman Noor</t>
  </si>
  <si>
    <t>ITP1652 - Bioteknologi Hasil Ternak</t>
  </si>
  <si>
    <t>Epi Taufik</t>
  </si>
  <si>
    <t>ITP1653 - Kimia Proses Pengolahan Hasil Ternak</t>
  </si>
  <si>
    <t>Tuti Suryati</t>
  </si>
  <si>
    <t>ITP1543 - Ilmu Pemuliaan Ternak</t>
  </si>
  <si>
    <t>Sri Darwati</t>
  </si>
  <si>
    <t>ITP1533 - Sistem dan Disain Produksi Unggas</t>
  </si>
  <si>
    <t>Iman Rahayu Hidayati Soesanto</t>
  </si>
  <si>
    <t>ITP1613 - Fisiologi Produksi Ternak Perah</t>
  </si>
  <si>
    <t>ITP1622 - Ilmu Daging</t>
  </si>
  <si>
    <t>Henny Nuraini</t>
  </si>
  <si>
    <t>ITP1625 - Sumberdaya Ternak Prospektif</t>
  </si>
  <si>
    <t>Asnath Maria Fuah</t>
  </si>
  <si>
    <t>ITP1514 - Agribisnis Ternak Perah</t>
  </si>
  <si>
    <t>ITP1523 - Pembiakan Ternak Pedaging</t>
  </si>
  <si>
    <t>Komariah</t>
  </si>
  <si>
    <t>ITP1544 - Pemuliaan dalam Reproduksi Ternak</t>
  </si>
  <si>
    <t>Asep Gunawan</t>
  </si>
  <si>
    <t>ITP1636 - Pelestarian dan Pemanfaatan Unggas Hobi</t>
  </si>
  <si>
    <t>Maria Ulfah</t>
  </si>
  <si>
    <t>ITP1524 - Ilmu Tingkah Laku Ternak Pedaging</t>
  </si>
  <si>
    <t>ITP1545 - Sitogenetika Hewan/Ternak</t>
  </si>
  <si>
    <t>Jakaria</t>
  </si>
  <si>
    <t>ITP1555 - Analisis Resiko Ternak dan Hasil Ternak</t>
  </si>
  <si>
    <t>ITP1557 - Komponen Bioaktif Hasil Ternak</t>
  </si>
  <si>
    <t>Zakiah Wulandari</t>
  </si>
  <si>
    <t>ITP1654 - Ilmu Pengelolaan Limbah Peternakan</t>
  </si>
  <si>
    <t>Salundik</t>
  </si>
  <si>
    <t>D251 - Ilmu Nutrisi dan Pakan (INP)</t>
  </si>
  <si>
    <t>INP1622 - Bioteknologi Pakan</t>
  </si>
  <si>
    <t>Nahrowi</t>
  </si>
  <si>
    <t>D251 (INP)</t>
  </si>
  <si>
    <t>INP1633 - Teknik Pengendalian dan Sistem Jaminan Mutu Industri Pakan</t>
  </si>
  <si>
    <t>Indah Wijayanti</t>
  </si>
  <si>
    <t>10:30 - 12:10</t>
  </si>
  <si>
    <t>INP1642 - Inovasi Nutrisi untuk Produk Unggas Unggul</t>
  </si>
  <si>
    <t>Widya Hermana</t>
  </si>
  <si>
    <t>11:00 - 12:40</t>
  </si>
  <si>
    <t>INP1592 - Analisis Data Kuantitatif</t>
  </si>
  <si>
    <t>Idat Galih Permana</t>
  </si>
  <si>
    <t>INP1612 - Eksplorasi Plasmanutfah dan Bioteknologi Tumbuhan Pakan</t>
  </si>
  <si>
    <t>Panca Dewi Manu Hara Karti Soewondo</t>
  </si>
  <si>
    <t>INP1632 - Inovasi Produk Pakan</t>
  </si>
  <si>
    <t>Yuli Retnani</t>
  </si>
  <si>
    <t>INP1652 - Evaluasi Status Nutrisi Ternak Perah</t>
  </si>
  <si>
    <t>Despal</t>
  </si>
  <si>
    <t>INP1662 - Rekayasa Nutrisi dan Produksi Daging Fungsional</t>
  </si>
  <si>
    <t>Sri Suharti</t>
  </si>
  <si>
    <t>07:00 - 08:00</t>
  </si>
  <si>
    <t>INP1693 - Kolokium</t>
  </si>
  <si>
    <t>Rita Mutia</t>
  </si>
  <si>
    <t>INP1613 - Evaluasi dan Instrumentasi Tumbuhan Pakan</t>
  </si>
  <si>
    <t>Iwan Prihantoro</t>
  </si>
  <si>
    <t>INP1623 - Evaluasi Pakan</t>
  </si>
  <si>
    <t>Erika Budiarti Laconi</t>
  </si>
  <si>
    <t>INP1663 - Ruminologi dan Biokonversi</t>
  </si>
  <si>
    <t>I Komang Gede Wiryawan</t>
  </si>
  <si>
    <t>INP1643 - Gangguan Nutrisi dan Metabolisme pada Unggas</t>
  </si>
  <si>
    <t>E251 - Ilmu dan Teknologi Hasil Hutan (THH)</t>
  </si>
  <si>
    <t>THH1501 - Metode Penelitian</t>
  </si>
  <si>
    <t>Rita Kartika Sari</t>
  </si>
  <si>
    <t>E251 (THH)</t>
  </si>
  <si>
    <t>THH1616 - Analisis Pemesinan</t>
  </si>
  <si>
    <t>I Wayan Darmawan</t>
  </si>
  <si>
    <t>E251 (THH), E261 (THH)</t>
  </si>
  <si>
    <t>THH1531 - Mekanika Biomaterial</t>
  </si>
  <si>
    <t>Effendi Tri Bahtiar</t>
  </si>
  <si>
    <t>THH1633 - Material Terbarukan pada Konstruksi Berkelanjutan</t>
  </si>
  <si>
    <t>Naresworo Nugroho</t>
  </si>
  <si>
    <t>THH1601 - Biopolimer</t>
  </si>
  <si>
    <t>I Ny. Jaya Wistara</t>
  </si>
  <si>
    <t>THH1624 - Komposit Biomaterial Maju</t>
  </si>
  <si>
    <t>Dede Hermawan</t>
  </si>
  <si>
    <t>THH1502 - Perancangan Percobaan Hasil Hutan</t>
  </si>
  <si>
    <t>THH1643 - Biorefineri Lignoselulosa</t>
  </si>
  <si>
    <t>Wasrin Syafii</t>
  </si>
  <si>
    <t>THH1651 - Optimasi dalam Industri Hasil Hutan</t>
  </si>
  <si>
    <t>Bintang C. H. Simangunsong</t>
  </si>
  <si>
    <t>THH1612 - Deteriorasi Kayu</t>
  </si>
  <si>
    <t>Arinana</t>
  </si>
  <si>
    <t>THH1602 - Modifikasi Biomaterial</t>
  </si>
  <si>
    <t>09:50 - 11:50</t>
  </si>
  <si>
    <t>09:50 - 12:50</t>
  </si>
  <si>
    <t>THH1541 - Kimia Biomaterial</t>
  </si>
  <si>
    <t>Deded Sarip Nawawi</t>
  </si>
  <si>
    <t>THH1632 - Nondestruktif Hasil Hutan</t>
  </si>
  <si>
    <t>Lina Karlinasari</t>
  </si>
  <si>
    <t>THH150R - Ilmu Kayu</t>
  </si>
  <si>
    <t>THH1511 - Fisika Biomaterial</t>
  </si>
  <si>
    <t>Istie Sekartining Rahayu</t>
  </si>
  <si>
    <t>E351 - Konservasi Biodiversitas Tropika (KVT)</t>
  </si>
  <si>
    <t>KSH1502 - Metodologi Penelitian</t>
  </si>
  <si>
    <t>Mirza Dikari Kusrini</t>
  </si>
  <si>
    <t>Ruang Raflesia, Dept KSHE (KVT)</t>
  </si>
  <si>
    <t>E351 (KVT), E3510</t>
  </si>
  <si>
    <t>10:30 - 13:30</t>
  </si>
  <si>
    <t>KSH1511 - Manajemen Biodiversitas</t>
  </si>
  <si>
    <t>Nyoto Santoso</t>
  </si>
  <si>
    <t>KSH1656 - Pemasaran dan Promosi Ekowisata dan Jasa Lingkungan</t>
  </si>
  <si>
    <t>Tutut Sunarminto</t>
  </si>
  <si>
    <t>RK. KEPODANG</t>
  </si>
  <si>
    <t>KSH1512 - Ekologi Kuantitatif Konservasi</t>
  </si>
  <si>
    <t>Yanto Santosa</t>
  </si>
  <si>
    <t>KSH1541 - Manajemen Jasa Lingkungan</t>
  </si>
  <si>
    <t>Siti Badriyah Rushayati</t>
  </si>
  <si>
    <t>KSH1618 - Ekologi Komunitas</t>
  </si>
  <si>
    <t>Ani Mardiastuti</t>
  </si>
  <si>
    <t>E351 (KVT), E3510, E361 (KVT), E3610</t>
  </si>
  <si>
    <t>KSH1623 - Bisnis Jasa Lingkungan dan Ekowisata</t>
  </si>
  <si>
    <t>KSH1646 - Internet of Things (IoT) Konservasi</t>
  </si>
  <si>
    <t>Yudi Setiawan</t>
  </si>
  <si>
    <t>Ruang Kuliah Melati Dept KSHE Gedung Lama (KVT)</t>
  </si>
  <si>
    <t>KSH1655 - Manajemen Sumberdaya Ekowisata</t>
  </si>
  <si>
    <t>Endang Koestati Sriharini</t>
  </si>
  <si>
    <t>Ruang Percil, PS KVT</t>
  </si>
  <si>
    <t>KSH1632 - Hutan dan Kesehatan Manusia</t>
  </si>
  <si>
    <t>Ervizal Amzu</t>
  </si>
  <si>
    <t>E351 (KVT), E361 (KVT)</t>
  </si>
  <si>
    <t>KSH1642 - Bioklimatologi Lingkungan</t>
  </si>
  <si>
    <t>E451 - Silvikultur Tropika (SVK)</t>
  </si>
  <si>
    <t>SVK1621 - Sistem Agroforestry</t>
  </si>
  <si>
    <t>Nurheni Wijayanto</t>
  </si>
  <si>
    <t>RS. Eboni (SVK)</t>
  </si>
  <si>
    <t>E451 (SVK)</t>
  </si>
  <si>
    <t>SVK1501 - Metodologi Penelitian</t>
  </si>
  <si>
    <t>Cecep Kusmana</t>
  </si>
  <si>
    <t>RS. Ulin (SVK)</t>
  </si>
  <si>
    <t>BOT1632 - Ekologi Sumberdaya Tropis</t>
  </si>
  <si>
    <t>Ibnul Qayim</t>
  </si>
  <si>
    <t>RK. Pasca Bio 5</t>
  </si>
  <si>
    <t>E451 (SVK), G353 (BOT), G363 (BOT)</t>
  </si>
  <si>
    <t>SVK1634 - Jasad Renik Bagi Kesehatan Hutan</t>
  </si>
  <si>
    <t>Dummy</t>
  </si>
  <si>
    <t>SVK1611 - Ekologi Restorasi</t>
  </si>
  <si>
    <t>Irdika Mansur</t>
  </si>
  <si>
    <t>RS. Gaharu (SVK)</t>
  </si>
  <si>
    <t>Lab. Pengaruh (SVK)</t>
  </si>
  <si>
    <t>SVK1521 - Silvikultur Hutan Tropika</t>
  </si>
  <si>
    <t>Sri Wilarso Budi R.</t>
  </si>
  <si>
    <t>F151 - Teknik Pertanian dan Biosistem (TPB)</t>
  </si>
  <si>
    <t>08:00 - 09:50</t>
  </si>
  <si>
    <t>TPB1613 - Ergonomika dalam Perancangan Mesin Pertanian</t>
  </si>
  <si>
    <t>Sam Herodian</t>
  </si>
  <si>
    <t>RPPS TMB-3 (TPP)</t>
  </si>
  <si>
    <t>F151 (TPB)</t>
  </si>
  <si>
    <t>10:00 - 11:50</t>
  </si>
  <si>
    <t>TPB1606 - Analisis Konversi Energi Terbarukan</t>
  </si>
  <si>
    <t>Edy Hartulistiyoso</t>
  </si>
  <si>
    <t>TPB1641 - Fenomena Transport</t>
  </si>
  <si>
    <t>Leopold Oscar Nelwan</t>
  </si>
  <si>
    <t>TPB1642 - Rancangan Sistem Termal</t>
  </si>
  <si>
    <t>TPB1501 - Perancangan dan Pengujian</t>
  </si>
  <si>
    <t>Desrial</t>
  </si>
  <si>
    <t>14:00 - 16:50</t>
  </si>
  <si>
    <t>TPB1614 - Kinematika dan Dinamika Mesin</t>
  </si>
  <si>
    <t>Wawan Hermawan</t>
  </si>
  <si>
    <t>TPB1623 - Teknik Pengolahan Hasil Pertanian Lanjut</t>
  </si>
  <si>
    <t>Usman Ahmad</t>
  </si>
  <si>
    <t>13:00 - 14:50</t>
  </si>
  <si>
    <t>TPB1621 - Teknik Pengeringan</t>
  </si>
  <si>
    <t>TPB1611 - Instrumentasi dan Kontrol Otomatik Berbasis IOT</t>
  </si>
  <si>
    <t>Slamet Widodo</t>
  </si>
  <si>
    <t>15:00 - 16:50</t>
  </si>
  <si>
    <t>TPB1612 - Interaksi Tanah dengan Mesin Pertanian</t>
  </si>
  <si>
    <t>Tineke Mandang</t>
  </si>
  <si>
    <t>TPB1631 - Sistem Basis Data untuk Teknik Pertanian dan Biosistem</t>
  </si>
  <si>
    <t>Mohamad Solahudin</t>
  </si>
  <si>
    <t>TPB1643 - Teknik Konversi Bioenergi untuk Mesin Pertanian</t>
  </si>
  <si>
    <t>TPB1605 - Analisis dan Evaluasi Proyek Teknik Pertanian dan Biosistem</t>
  </si>
  <si>
    <t>Setyo Pertiwi</t>
  </si>
  <si>
    <t>TPB1602 - Kolokium</t>
  </si>
  <si>
    <t>I Dewa Made Subrata</t>
  </si>
  <si>
    <t>TPB1632 - Sistem Informasi Geografis untuk Teknik Pertanian dan Biosistem</t>
  </si>
  <si>
    <t>Liyantono</t>
  </si>
  <si>
    <t>09:30 - 11:00</t>
  </si>
  <si>
    <t>TPB1617 - Analisis Komputasional Dinamika Fluida dan Mekanika Benda Padat</t>
  </si>
  <si>
    <t>TPB1633 - Teknik Agrosistem</t>
  </si>
  <si>
    <t>F152 - Teknologi Pascapanen (TPP)</t>
  </si>
  <si>
    <t>TPP1625 - Penanganan Pascapanen Tanaman Rempah dan Obat</t>
  </si>
  <si>
    <t>Yohanes Aris Purwanto</t>
  </si>
  <si>
    <t>F152 (TPP)</t>
  </si>
  <si>
    <t>TPP1626 - Penanganan dan Pengolahan Hasil Ternak dan Perikanan</t>
  </si>
  <si>
    <t>TPP1531 - Manajemen Pascapanen</t>
  </si>
  <si>
    <t>RPPS TMB-1 (TMP)</t>
  </si>
  <si>
    <t>TPP1522 - Teknologi Penanganan Pascapanen</t>
  </si>
  <si>
    <t>Sutrisno</t>
  </si>
  <si>
    <t>TPP1622 - Penanganan Pascapanen Tanaman Pangan</t>
  </si>
  <si>
    <t>TPP1523 - Teknologi Pengolahan Hasil Pertanian</t>
  </si>
  <si>
    <t>Rokhani</t>
  </si>
  <si>
    <t>TPP1624 - Penanganan dan Pengolahan Hasil Perkebunan</t>
  </si>
  <si>
    <t>TPP1629 - Teknologi Pengolahan Limbah Pertanian</t>
  </si>
  <si>
    <t>Lilik Pujantoro Eko Nugroho</t>
  </si>
  <si>
    <t>08:00 - 10:50</t>
  </si>
  <si>
    <t>TPP1524 - Penanganan dan Pengolahan Hasil Pertanian</t>
  </si>
  <si>
    <t>Emmy Darmawati</t>
  </si>
  <si>
    <t>TPP1627 - Teknologi Distribusi dan Rantai Pasok Hasil Pertanian</t>
  </si>
  <si>
    <t>TPP1621 - Teknologi Evaluasi Non-destruktif Bahan Pertanian</t>
  </si>
  <si>
    <t>TPP1628 - Teknologi Karantina dalam Penanganan Pascapanen</t>
  </si>
  <si>
    <t>F251 - Ilmu Pangan (IPN)</t>
  </si>
  <si>
    <t>IPN1612 - Kimia Flavor</t>
  </si>
  <si>
    <t>C. Hanny Wijaya</t>
  </si>
  <si>
    <t>R.Markisa</t>
  </si>
  <si>
    <t>F251 (IPN)</t>
  </si>
  <si>
    <t>IPN1621 - Pengendalian Mutu Mikrobiologi Pangan</t>
  </si>
  <si>
    <t>Winiati Pudji Rahayu</t>
  </si>
  <si>
    <t>RK. Delima</t>
  </si>
  <si>
    <t>IPN1613 - Aplikasi Metobolomik dalam Ilmu Pangan</t>
  </si>
  <si>
    <t>Nancy Dewi Yuliana</t>
  </si>
  <si>
    <t>IPN1503 - Rekayasa Proses Pangan</t>
  </si>
  <si>
    <t>Purwiyatno Hariyadi</t>
  </si>
  <si>
    <t>IPN1641 - Metabolisme Seluler Komponen Pangan</t>
  </si>
  <si>
    <t>Made Astawan</t>
  </si>
  <si>
    <t>12:30 - 15:00</t>
  </si>
  <si>
    <t>IPN1506 - Analisis Pangan Lanjut</t>
  </si>
  <si>
    <t>Hanifah Nuryani Lioe</t>
  </si>
  <si>
    <t>15:30 - 18:00</t>
  </si>
  <si>
    <t>07:30 - 10:00</t>
  </si>
  <si>
    <t>IPN1633 - Rekayasa Pengemasan dan Penyimpanan Pangan</t>
  </si>
  <si>
    <t>Nugraha Edhi Suyatma</t>
  </si>
  <si>
    <t>IPN1642 - Metode Evaluasi Nilai Biologis Pangan</t>
  </si>
  <si>
    <t>IPN1504 - Biokimia Molekuler Pangan</t>
  </si>
  <si>
    <t>Maggy Thenawidjaja</t>
  </si>
  <si>
    <t>IPN1634 - Teknologi Membran dalam Industri Pangan</t>
  </si>
  <si>
    <t>Azis Boing Sitanggang</t>
  </si>
  <si>
    <t>IPN1623 - Bioteknologi Pangan</t>
  </si>
  <si>
    <t>Siti Nurjanah</t>
  </si>
  <si>
    <t>F252 - Teknologi Pangan (TPN)</t>
  </si>
  <si>
    <t>TPN1503 - Regulasi Pangan</t>
  </si>
  <si>
    <t>Ruang Belimbing 1 Seafast Kampus BS (PTP)</t>
  </si>
  <si>
    <t>F252 (TPN)</t>
  </si>
  <si>
    <t>09:50 - 11:30</t>
  </si>
  <si>
    <t>TPN1541 - Gizi Terapan di Industri Pangan</t>
  </si>
  <si>
    <t>R. DURIAN SEAFAST (Kampus IPB Baranang Siang)</t>
  </si>
  <si>
    <t>TPN1601 - Isu Mutakhir Industri Pangan</t>
  </si>
  <si>
    <t>12:30 - 14:10</t>
  </si>
  <si>
    <t>14:20 - 16:00</t>
  </si>
  <si>
    <t>TPN1602 - Manajemen Pengembangan Produk Baru</t>
  </si>
  <si>
    <t>Nuri Andarwulan</t>
  </si>
  <si>
    <t>TPN1622 - Good Practices dalam Rantai Pangan</t>
  </si>
  <si>
    <t>Lilis Nuraida</t>
  </si>
  <si>
    <t>TPN1641 - Teknologi Pangan Fungsional</t>
  </si>
  <si>
    <t>Nurheni Sri Palupi</t>
  </si>
  <si>
    <t>RK. RIAU 2</t>
  </si>
  <si>
    <t>F351 - Teknik Industri Pertanian (TIP)</t>
  </si>
  <si>
    <t>TIN1592 - Metodologi Penelitian</t>
  </si>
  <si>
    <t>Muhammad Romli</t>
  </si>
  <si>
    <t>RK A304 (A) -lt 3 (TIN)</t>
  </si>
  <si>
    <t>F351 (TIP)</t>
  </si>
  <si>
    <t>TIN1562 - Produksi Bersih Lanjut</t>
  </si>
  <si>
    <t>Anas Miftah Fauzi</t>
  </si>
  <si>
    <t>RK A304 (B) lt 3 (TIN)</t>
  </si>
  <si>
    <t>TIN1617 - Sistem Informasi Logistik dan Rantai Pasok</t>
  </si>
  <si>
    <t>TIN1662 - Teknologi Pengelolaan Limbah Padat dan B3</t>
  </si>
  <si>
    <t>Nastiti Siswi Indrasti</t>
  </si>
  <si>
    <t>RK. AGRIN PASCA TIN - LT 3</t>
  </si>
  <si>
    <t>TIN1675 - Teknopreneurship dan Inovasi Bisnis</t>
  </si>
  <si>
    <t>14:40 - 17:00</t>
  </si>
  <si>
    <t>15:00 - 17:30</t>
  </si>
  <si>
    <t>TIN1521 - Rekayasa Perancangan Proses</t>
  </si>
  <si>
    <t>Erliza Noor</t>
  </si>
  <si>
    <t>TIN1619 - Intelejensia Bisnis</t>
  </si>
  <si>
    <t>09:40 - 12:10</t>
  </si>
  <si>
    <t>TIN1629 - Nanoteknologi untuk Agroindustri</t>
  </si>
  <si>
    <t>TIN1651 - Pengendalian Mutu</t>
  </si>
  <si>
    <t>Dwi Setyaningsih</t>
  </si>
  <si>
    <t>RK PASCA TIN-Lab. Bisnis dan Aplikasi Industri</t>
  </si>
  <si>
    <t>TIN1678 - Teknik Distribusi dan Transportasi</t>
  </si>
  <si>
    <t>F351 (TIP), F361 (TIP)</t>
  </si>
  <si>
    <t>TIN1511 - Analisis dan Desain Sistem Produksi Agroindustri</t>
  </si>
  <si>
    <t>Machfud</t>
  </si>
  <si>
    <t>TIN1664 - Analisis dan Pengelolaan Resiko Lingkungan</t>
  </si>
  <si>
    <t>RK F-G401-PASCA TIN</t>
  </si>
  <si>
    <t>TIN1644 - Rekayasa Proses Pengemasan dan Mutu Produk</t>
  </si>
  <si>
    <t>TIN1691 - Topik Khusus Penyusunan Proposal Tesis</t>
  </si>
  <si>
    <t>Moh. Yani</t>
  </si>
  <si>
    <t>P/3</t>
  </si>
  <si>
    <t>P/5</t>
  </si>
  <si>
    <t>TIN1612 - Rekayasa Sistem Mutu</t>
  </si>
  <si>
    <t>TIN162A - Rekayasa Proses dan Produk Bioenergi</t>
  </si>
  <si>
    <t>Erliza</t>
  </si>
  <si>
    <t>TIN1692 - Kolokium</t>
  </si>
  <si>
    <t>TIN1631 - Rekayasa Bioproses</t>
  </si>
  <si>
    <t>Khaswar Syamsu</t>
  </si>
  <si>
    <t>Ruang Kuliah PS BTK</t>
  </si>
  <si>
    <t>F351 (TIP), P051 (BTK)</t>
  </si>
  <si>
    <t>TIN1633 - Teknologi Biotransformasi</t>
  </si>
  <si>
    <t>P/10</t>
  </si>
  <si>
    <t>P/6</t>
  </si>
  <si>
    <t>P/7</t>
  </si>
  <si>
    <t>P/8</t>
  </si>
  <si>
    <t>P/9</t>
  </si>
  <si>
    <t>16:30 - 18:00</t>
  </si>
  <si>
    <t>P/11</t>
  </si>
  <si>
    <t>P/12</t>
  </si>
  <si>
    <t>P/13</t>
  </si>
  <si>
    <t>P/14</t>
  </si>
  <si>
    <t>P/15</t>
  </si>
  <si>
    <t>P/16</t>
  </si>
  <si>
    <t>TIN1676 - Kreasi dan Pengembangan Bisnis Agroindustri</t>
  </si>
  <si>
    <t>Elisa Anggraeni</t>
  </si>
  <si>
    <t>TIN1663 - Teknologi Pengendalian dan Pencemaran Udara</t>
  </si>
  <si>
    <t>TIN1672 - Strategi Teknologi dan Manajemen Inovasi</t>
  </si>
  <si>
    <t>F451 - Teknik Sipil dan Lingkungan (SIL)</t>
  </si>
  <si>
    <t>SIL1621 - Bangunan dan Lingkungan</t>
  </si>
  <si>
    <t>Arief Sabdo Yuwono</t>
  </si>
  <si>
    <t>F451 (SIL)</t>
  </si>
  <si>
    <t>SIL1635 - Pemodelan Hidrologi</t>
  </si>
  <si>
    <t>Nora Herdiana Pandjaitan</t>
  </si>
  <si>
    <t>SIL1613 - Teknik Pondasi Lanjut</t>
  </si>
  <si>
    <t>Heriansyah Putra</t>
  </si>
  <si>
    <t>Ruang Pasca SIL 2</t>
  </si>
  <si>
    <t>SIL1531 - Komputasi Dinamika Fluida (CFD)</t>
  </si>
  <si>
    <t>Budi Indra Setiawan</t>
  </si>
  <si>
    <t>SIL1625 - Rekayasa Lingkungan Pertanian</t>
  </si>
  <si>
    <t>Yudi Chadirin</t>
  </si>
  <si>
    <t>SIL1528 - Pemodelan Lingkungan</t>
  </si>
  <si>
    <t>Satyanto Krido Saptomo</t>
  </si>
  <si>
    <t>SIL1512 - Teknik Konstruksi Bangunan</t>
  </si>
  <si>
    <t>Erizal</t>
  </si>
  <si>
    <t>SIL1590 - Metodologi Penelitian Teknik Sipil dan Lingkungan</t>
  </si>
  <si>
    <t>SIL1615 - Metode Elemen Hingga untuk Geoteknik</t>
  </si>
  <si>
    <t>SIL1647 - Pemodelan dan Visualisasi Spasial</t>
  </si>
  <si>
    <t>Yuli Suharnoto</t>
  </si>
  <si>
    <t>SIL1502 - Kesehatan dan Keselamatan Kerja di Bidang Teknik Sipil dan Lingkungan</t>
  </si>
  <si>
    <t>G151 - Statistika dan Sains Data (STA)</t>
  </si>
  <si>
    <t>STA1541 - Analisis Peubah Ganda</t>
  </si>
  <si>
    <t>I Made Sumertajaya</t>
  </si>
  <si>
    <t>RK. A. SATARI 02.05</t>
  </si>
  <si>
    <t>G151 (STK)</t>
  </si>
  <si>
    <t>STA1542 - Analisis Deret Waktu</t>
  </si>
  <si>
    <t>Farit Mochamad Afendi</t>
  </si>
  <si>
    <t>RK. A. SATARI 02.11</t>
  </si>
  <si>
    <t>STA1582 - Pembelajaran Mesin Statistika</t>
  </si>
  <si>
    <t>Bagus Sartono</t>
  </si>
  <si>
    <t>RK. P25</t>
  </si>
  <si>
    <t>RK. A. SATARI 03.06</t>
  </si>
  <si>
    <t>STA1500 - Metode Penelitian Kuantitatif</t>
  </si>
  <si>
    <t>Anang Kurnia</t>
  </si>
  <si>
    <t>RK. A. SATARI 02.01</t>
  </si>
  <si>
    <t>RK. A. SATARI 03.07</t>
  </si>
  <si>
    <t>STA1521 - Analisis dan Perancangan Percobaan</t>
  </si>
  <si>
    <t>STA1562 - Manajemen Data Statistika</t>
  </si>
  <si>
    <t>Agus Mohamad Soleh</t>
  </si>
  <si>
    <t>RK. P24</t>
  </si>
  <si>
    <t>10:00 - 11:00</t>
  </si>
  <si>
    <t>RK. A. SATARI 03.04</t>
  </si>
  <si>
    <t>RK. A. SATARI 03.08</t>
  </si>
  <si>
    <t>STA1501 - Teori Statistika</t>
  </si>
  <si>
    <t>RK. A. SATARI 02.04</t>
  </si>
  <si>
    <t>STA1553 - Analisis Statistika Spasial</t>
  </si>
  <si>
    <t>Anik Djuraidah</t>
  </si>
  <si>
    <t>STA1583 - Text Analytics</t>
  </si>
  <si>
    <t>RK. A. SATARI 03.11</t>
  </si>
  <si>
    <t>STA1543 - Analisis Data Kategorik</t>
  </si>
  <si>
    <t>Kusman Sadik</t>
  </si>
  <si>
    <t>RK. A. SATARI 03.09</t>
  </si>
  <si>
    <t>STA1544 - Analisis Data Observasional</t>
  </si>
  <si>
    <t>STA1522 - Metode Penarikan Contoh</t>
  </si>
  <si>
    <t>Indahwati</t>
  </si>
  <si>
    <t>STA1554 - Psikometrika</t>
  </si>
  <si>
    <t>G251 - Klimatologi Terapan (KLI)</t>
  </si>
  <si>
    <t>GFM1640 - Interaksi Antara Iklim / Cuaca dan Tanaman</t>
  </si>
  <si>
    <t>Impron</t>
  </si>
  <si>
    <t>RK Pasca 2 Dept GFM</t>
  </si>
  <si>
    <t>G251 (KLI), G261 (KLI)</t>
  </si>
  <si>
    <t>GFM1646 - Modifikasi Iklim dan Cuaca</t>
  </si>
  <si>
    <t>Yonny Koesmaryono</t>
  </si>
  <si>
    <t>RK. Pasca 1 Dept GFM</t>
  </si>
  <si>
    <t>GFM1604 - Topik Khusus dalam bidang Klimatologi Terapan 2</t>
  </si>
  <si>
    <t>I Putu Santikayasa</t>
  </si>
  <si>
    <t>G251 (KLI)</t>
  </si>
  <si>
    <t>GFM1630 - Mitigasi Perubahan Iklim</t>
  </si>
  <si>
    <t>Murdiyarso</t>
  </si>
  <si>
    <t>10:30 - 12:30</t>
  </si>
  <si>
    <t>GFM1632 - Analisis Sistem Hidrologi</t>
  </si>
  <si>
    <t>GFM1612 - Klimatologi Perkotaan</t>
  </si>
  <si>
    <t>Rahmat Hidayat</t>
  </si>
  <si>
    <t>15:00 - 17:40</t>
  </si>
  <si>
    <t>GFM162A - Pemodelan Iklim</t>
  </si>
  <si>
    <t>Akhmad Faqih</t>
  </si>
  <si>
    <t>GFM1614 - Klimatologi Fisik Global</t>
  </si>
  <si>
    <t>GFM1622 - Metode Klimatologi Lanjut</t>
  </si>
  <si>
    <t>G351 - Mikrobiologi (MIK)</t>
  </si>
  <si>
    <t>07:30 - 12:30</t>
  </si>
  <si>
    <t>MIK151D - Proyek Prokariot</t>
  </si>
  <si>
    <t>Anja Meryandini</t>
  </si>
  <si>
    <t>Laboratorium BIO 5</t>
  </si>
  <si>
    <t>G351 (MIK)</t>
  </si>
  <si>
    <t>BIO1621 - Bioteknologi Senyawa Antimikrob</t>
  </si>
  <si>
    <t>Lisdar A. Manaf</t>
  </si>
  <si>
    <t>RK. Pasca Bio 6</t>
  </si>
  <si>
    <t>BIO1524 - Interaksi Mikrob Inang</t>
  </si>
  <si>
    <t>Nampiah</t>
  </si>
  <si>
    <t>BIO1514 - Mikrob dan Potensinya</t>
  </si>
  <si>
    <t>Nisa Rachmania</t>
  </si>
  <si>
    <t>Laboratorium BIO 6</t>
  </si>
  <si>
    <t>MIK152C - Proyek Mikologi</t>
  </si>
  <si>
    <t>Laboratorium BIO 3</t>
  </si>
  <si>
    <t>Laboratorium BIO 1</t>
  </si>
  <si>
    <t>G352 - Biosains Hewan (BSH)</t>
  </si>
  <si>
    <t>07:30 - 11:00</t>
  </si>
  <si>
    <t>BSH1561 - Perilaku Hewan</t>
  </si>
  <si>
    <t>Rika Raffiudin</t>
  </si>
  <si>
    <t>G352 (BSH)</t>
  </si>
  <si>
    <t>BSH1553 - Ekologi Hewan</t>
  </si>
  <si>
    <t>Windra Priawandiputra</t>
  </si>
  <si>
    <t>BSH1555 - Evolusi Organik</t>
  </si>
  <si>
    <t>Kanthi Arum Widayati</t>
  </si>
  <si>
    <t>BSH1654 - Genetika Populasi</t>
  </si>
  <si>
    <t>Raden Roro Dyah Perwitasari</t>
  </si>
  <si>
    <t>RK Pasca BIO 4</t>
  </si>
  <si>
    <t>BSH165A - Biologi Serangga Polinator</t>
  </si>
  <si>
    <t>Tri Atmowidi</t>
  </si>
  <si>
    <t>RK Pasca BIO 1</t>
  </si>
  <si>
    <t>BSH1663 - Fisiologi Tradisi</t>
  </si>
  <si>
    <t>Achmad Farajallah</t>
  </si>
  <si>
    <t>RK Pasca BIO 2</t>
  </si>
  <si>
    <t>BSH1664 - Neurosains</t>
  </si>
  <si>
    <t>Berry Juliandi</t>
  </si>
  <si>
    <t>RK Pasca BIO 3</t>
  </si>
  <si>
    <t>07:20 - 09:00</t>
  </si>
  <si>
    <t>BSH1551 - Morfometrika</t>
  </si>
  <si>
    <t>G352 (BSH), G353 (BOT)</t>
  </si>
  <si>
    <t>16:00 - 17:00</t>
  </si>
  <si>
    <t>BIO1691 - Kolokium</t>
  </si>
  <si>
    <t>BSH1662 - Biologi Serangga Sosial</t>
  </si>
  <si>
    <t>BSH165E - Konservasi Hewan Tropis</t>
  </si>
  <si>
    <t>Puji Rianti</t>
  </si>
  <si>
    <t>BSH1656 - Zoogeografi</t>
  </si>
  <si>
    <t>BSH1562 - Biologi Molekular Hewan</t>
  </si>
  <si>
    <t>BSH1652 - Bioantropologi</t>
  </si>
  <si>
    <t>Bambang Suryobroto</t>
  </si>
  <si>
    <t>Laboratorium BIO 7</t>
  </si>
  <si>
    <t>G353 - Biologi Tumbuhan (BOT)</t>
  </si>
  <si>
    <t>BOT1535 - Biostematika Tumbuhan</t>
  </si>
  <si>
    <t>Tatik Chikmawati</t>
  </si>
  <si>
    <t>G353 (BOT)</t>
  </si>
  <si>
    <t>BOT1544 - Biologi Kultur In Vitro Tumbuhan</t>
  </si>
  <si>
    <t>Yuliana Maria Diah Ratnadewi</t>
  </si>
  <si>
    <t>BOT1633 - Biologi Konservasi Tumbuhan</t>
  </si>
  <si>
    <t>G353 (BOT), G363 (BOT)</t>
  </si>
  <si>
    <t>11:50 - 13:00</t>
  </si>
  <si>
    <t>BOT1636 - Metodologi Penelitian Sistematika Tumbuhan</t>
  </si>
  <si>
    <t>Nunik Sri Ariyanti</t>
  </si>
  <si>
    <t>BOT1642 - Ekofisiologi Tumbuhan</t>
  </si>
  <si>
    <t>Triadiati</t>
  </si>
  <si>
    <t>BOT1637 - Etnobotani</t>
  </si>
  <si>
    <t>13:00 - 19:00</t>
  </si>
  <si>
    <t>BOT1635 - Praktikum Sistematika Tumbuhan</t>
  </si>
  <si>
    <t>Nina Ratna Djuita</t>
  </si>
  <si>
    <t>BOT1543 - Fisiologi Perkembangan Tumbuhan</t>
  </si>
  <si>
    <t>BOT1534 - Azas-azas Taksonomi Tumbuhan</t>
  </si>
  <si>
    <t>BOT1533 - Metodologi Ekologi Tumbuhan</t>
  </si>
  <si>
    <t>Sulistijorini</t>
  </si>
  <si>
    <t>BOT1646 - Fisiologi Molekular Tumbuhan</t>
  </si>
  <si>
    <t>Miftahudin</t>
  </si>
  <si>
    <t>BOT1631 - Mikroteknik Tumbuhan</t>
  </si>
  <si>
    <t>Yohana Caecilia Sulistyaningsih</t>
  </si>
  <si>
    <t>10:50 - 12:30</t>
  </si>
  <si>
    <t>BOT1545 - Biologi Molekular</t>
  </si>
  <si>
    <t>BOT1645 - Analisis Genetika</t>
  </si>
  <si>
    <t>BOT1644 - Rekayasa Genetika Tumbuhan</t>
  </si>
  <si>
    <t>BOT1634 - Praktikum Ekologi Tumbuhan Tropis</t>
  </si>
  <si>
    <t>08:00 - 16:00</t>
  </si>
  <si>
    <t>BOT1643 - Praktikum Genetika dan Biologi Molekular Tumbuhan</t>
  </si>
  <si>
    <t>11:00 - 16:00</t>
  </si>
  <si>
    <t>BOT1641 - Praktikum Sel dan Fisiologi Tumbuhan</t>
  </si>
  <si>
    <t>Hamim</t>
  </si>
  <si>
    <t>G451 - Kimia (KIM)</t>
  </si>
  <si>
    <t>KIM1638 - Kimia Bioanalitik</t>
  </si>
  <si>
    <t>Wulan Tri Wahyuni S.</t>
  </si>
  <si>
    <t>G451 (KIM), G461 (KIM)</t>
  </si>
  <si>
    <t>KIM1616 - Nanomaterial Anorganik</t>
  </si>
  <si>
    <t>Zaenal Abidin</t>
  </si>
  <si>
    <t>KIM1654 - Sensor dan Biosensor</t>
  </si>
  <si>
    <t>KIM1617 - Kimia Biomaterial</t>
  </si>
  <si>
    <t>Noviyan Darmawan</t>
  </si>
  <si>
    <t>KIM1502 - Metodologi Penelitian Kimia</t>
  </si>
  <si>
    <t>Mohamad Rafi</t>
  </si>
  <si>
    <t>G451 (KIM)</t>
  </si>
  <si>
    <t>KIM1637 - Metabolomik: Teknik Analitik dan Aplikasi</t>
  </si>
  <si>
    <t>KIM1641 - Senyawa Aktif Permukaan</t>
  </si>
  <si>
    <t>Komar Sutriah</t>
  </si>
  <si>
    <t>G551 - Matematika Terapan (MAT)</t>
  </si>
  <si>
    <t>MAT1232 - Pemrograman Linear</t>
  </si>
  <si>
    <t>G551 (MAT)</t>
  </si>
  <si>
    <t>MAT1554 - Proses Stokastik</t>
  </si>
  <si>
    <t>I Wayan Mangku</t>
  </si>
  <si>
    <t>RK. A. SATARI 02.03</t>
  </si>
  <si>
    <t>MAT1542 - Matematika Keuangan dan Pasar Modal</t>
  </si>
  <si>
    <t>Donny Citra Lesmana</t>
  </si>
  <si>
    <t>RK. A. SATARI 02.10</t>
  </si>
  <si>
    <t>MAT1524 - Komputasi Lanjut</t>
  </si>
  <si>
    <t>Sri Nurdiati</t>
  </si>
  <si>
    <t>MAT1556 - Persamaan Diferensial</t>
  </si>
  <si>
    <t>Endar Hasafah Nugrahani</t>
  </si>
  <si>
    <t>RK. A. SATARI 02.09</t>
  </si>
  <si>
    <t>07:00 - 09:00</t>
  </si>
  <si>
    <t>G651 - Ilmu Komputer (KOM)</t>
  </si>
  <si>
    <t>KOM1624 - Topik dalam Bioinformatika</t>
  </si>
  <si>
    <t>Wisnu Ananta Kusuma</t>
  </si>
  <si>
    <t>G651 (KOM)</t>
  </si>
  <si>
    <t>KOM1623 - Topik dalam Data Mining Terapan</t>
  </si>
  <si>
    <t>Imas Sukaesih Sitanggang</t>
  </si>
  <si>
    <t>KOM1611 - Topik dalam Keamanan Informasi</t>
  </si>
  <si>
    <t>Shelvie Nidya Neyman</t>
  </si>
  <si>
    <t>KOM1631 - Topik dalam Manajemen Pengetahuan</t>
  </si>
  <si>
    <t>Irman Hermadi</t>
  </si>
  <si>
    <t>KOM1632 - Pengujian dan Penjaminan Mutu Perangkat Lunak</t>
  </si>
  <si>
    <t>KOM1634 - Topik dalam E-Government</t>
  </si>
  <si>
    <t>Yani Nurhadryani</t>
  </si>
  <si>
    <t>KOM1622 - Topik dalam Pengenalan Pola</t>
  </si>
  <si>
    <t>Yeni Herdiyeni</t>
  </si>
  <si>
    <t>KOM1621 - Topik dalam Geoinformatika</t>
  </si>
  <si>
    <t>Hari Agung Adrianto</t>
  </si>
  <si>
    <t>KOM1503 - Metode Penelitian dan Penyajian Ilmiah</t>
  </si>
  <si>
    <t>Mushthofa</t>
  </si>
  <si>
    <t>15:30 - 17:10</t>
  </si>
  <si>
    <t>17:30 - 19:30</t>
  </si>
  <si>
    <t>15:30 - 16:30</t>
  </si>
  <si>
    <t>G751 - Biofisika (BFS)</t>
  </si>
  <si>
    <t>BFS150A - Metode Karakterisasi dalam Biofisika</t>
  </si>
  <si>
    <t>Siti Nikmatin</t>
  </si>
  <si>
    <t>G751 (BFS)</t>
  </si>
  <si>
    <t>BFS1501 - Metode Penelitian Biofisika</t>
  </si>
  <si>
    <t>Mersi Kurniati</t>
  </si>
  <si>
    <t>BFS1506 - Material Biokompatibel</t>
  </si>
  <si>
    <t>Yessie Widya Sari</t>
  </si>
  <si>
    <t>BFS1507 - Biofisika dan Kompleksitas</t>
  </si>
  <si>
    <t>Husin Alatas</t>
  </si>
  <si>
    <t>BFS1502 - Teori Kuantum Orbital dan Molekuler</t>
  </si>
  <si>
    <t>Hendradi Hardhienata</t>
  </si>
  <si>
    <t>BFS1503 - Biofisika Termal</t>
  </si>
  <si>
    <t>Irzaman</t>
  </si>
  <si>
    <t>BFS1504 - Bioelektromagnetisme</t>
  </si>
  <si>
    <t>Agus Kartono</t>
  </si>
  <si>
    <t>BFS150D - Material Bioinspirasi</t>
  </si>
  <si>
    <t>Akhiruddin</t>
  </si>
  <si>
    <t>BFS150I - Fisika Protein</t>
  </si>
  <si>
    <t>Setyanto Tri Wahyudi</t>
  </si>
  <si>
    <t>BFS150B - Pemodelan Biofisik</t>
  </si>
  <si>
    <t>BFS150G - Biofisika Lingkungan</t>
  </si>
  <si>
    <t>Irmansyah</t>
  </si>
  <si>
    <t>BFS1505 - Biofisika Membran dan Sel</t>
  </si>
  <si>
    <t>G851 - Biokimia (BIK)</t>
  </si>
  <si>
    <t>BIK1694 - Seminar nasional</t>
  </si>
  <si>
    <t>Hasim</t>
  </si>
  <si>
    <t>G851 (BIK)</t>
  </si>
  <si>
    <t>BIK1505 - Metabolisme Tumbuhan</t>
  </si>
  <si>
    <t>Syamsul Falah</t>
  </si>
  <si>
    <t>RK. BIK 1 Lt. 2 Pasca</t>
  </si>
  <si>
    <t>BIK1526 - Biokimia Genom</t>
  </si>
  <si>
    <t>Rahadian Pratama</t>
  </si>
  <si>
    <t>BIK695B - Publikasi Prosiding</t>
  </si>
  <si>
    <t>BIK1506 - Bioinformatika Molekuler</t>
  </si>
  <si>
    <t>I Made Artika</t>
  </si>
  <si>
    <t>Lab. BIK (BIK)</t>
  </si>
  <si>
    <t>BIK1532 - Bioinstrumentasi untuk Metabolit Sekunder</t>
  </si>
  <si>
    <t>Dimas Andrianto</t>
  </si>
  <si>
    <t>BIK1695 - Publikasi Nasional</t>
  </si>
  <si>
    <t>Mega Safithri</t>
  </si>
  <si>
    <t>BIK1612 - Patobiologi Aterosklerosis</t>
  </si>
  <si>
    <t>Sulistiyani</t>
  </si>
  <si>
    <t>BIK1502 - Teknik Penelitian Biokimia</t>
  </si>
  <si>
    <t>Waras Nurcholis</t>
  </si>
  <si>
    <t>RK. BIK 2 Lt. 2</t>
  </si>
  <si>
    <t>09:00 - 13:00</t>
  </si>
  <si>
    <t>Ruang Kuliah Pasca Biokimia (BIK)</t>
  </si>
  <si>
    <t>BIK1524 - Struktur dan Fungsi Protein</t>
  </si>
  <si>
    <t>Laksmi Ambarsari</t>
  </si>
  <si>
    <t>08:30 - 11:00</t>
  </si>
  <si>
    <t>BIK1512 - Aplikasi Biofarmaka untuk Kesehatan</t>
  </si>
  <si>
    <t>BIK1522 - Teknologi DNA</t>
  </si>
  <si>
    <t>Djarot Sasongko Hami Seno</t>
  </si>
  <si>
    <t>H051 - Ilmu Perencanaan Pembangunan Wilayah dan Pedesaan (PWD)</t>
  </si>
  <si>
    <t>PWD1511 - Analisis Keberlanjutan Wilayah dan Perdesaan</t>
  </si>
  <si>
    <t>H051 (PWD)</t>
  </si>
  <si>
    <t>PWD1500 - Metodologi Penelitian</t>
  </si>
  <si>
    <t>Bambang Juanda</t>
  </si>
  <si>
    <t>ESL1683 - Ekonomi Kelembagaan dan Kebijakan Sumberdaya Alam</t>
  </si>
  <si>
    <t>Aceng Hidayat</t>
  </si>
  <si>
    <t>H051 (PWD), H451 (ESL)</t>
  </si>
  <si>
    <t>H052 - Manajemen Pembangunan Daerah (MPD)</t>
  </si>
  <si>
    <t>14:00 - 16:00</t>
  </si>
  <si>
    <t>MPD1507 - Pengelolaan Sumberdaya Alam dan Lingkungan</t>
  </si>
  <si>
    <t>A. Faroby Falatehan</t>
  </si>
  <si>
    <t>H052 (MPD)</t>
  </si>
  <si>
    <t>MPD1603 - Strategi Pembangunan Daerah Berkelanjutan</t>
  </si>
  <si>
    <t>Lukman Mohammad Baga</t>
  </si>
  <si>
    <t>MPD1508 - Perencanaan dan Pengelolaan Proyek Pembangunan</t>
  </si>
  <si>
    <t>Yusman</t>
  </si>
  <si>
    <t>MPD1602 - Pembangunan Kewirausahaan Daerah Dan Ekonomi Lokal</t>
  </si>
  <si>
    <t>MPD160A - Metodologi Riset Pembangunan Daerah</t>
  </si>
  <si>
    <t>16:00 - 18:30</t>
  </si>
  <si>
    <t>H151 - Ilmu Ekonomi (EKO)</t>
  </si>
  <si>
    <t>EKO1603 - Ekonometrika II</t>
  </si>
  <si>
    <t>Hermanto Siregar</t>
  </si>
  <si>
    <t>H151 (EKO)</t>
  </si>
  <si>
    <t>EKO1506 - Makroekonomi II</t>
  </si>
  <si>
    <t>Iman Sugema</t>
  </si>
  <si>
    <t>EKO1505 - Mikroekonomi II</t>
  </si>
  <si>
    <t>Dominicus Savio Priyarsono</t>
  </si>
  <si>
    <t>EKO1605 - Metodologi Penelitian</t>
  </si>
  <si>
    <t>H251 - Ilmu Manajemen (MAN)</t>
  </si>
  <si>
    <t>MAN1524 - Komunikasi Pemasaran dan Manajemen Merk</t>
  </si>
  <si>
    <t>Ma'mun</t>
  </si>
  <si>
    <t>RK. FEM.3.00 (MAN)</t>
  </si>
  <si>
    <t>H251 (MAN)</t>
  </si>
  <si>
    <t>MAN150M - Pengambilan Keputusan Manajerial</t>
  </si>
  <si>
    <t>Heti Mulyati</t>
  </si>
  <si>
    <t>MAN1526 - Perilaku Pelanggan</t>
  </si>
  <si>
    <t>Ujang Sumarwan</t>
  </si>
  <si>
    <t>MAN160N - Kapita Selekta / Enrichment Course</t>
  </si>
  <si>
    <t>Eko Ruddy Cahyadi</t>
  </si>
  <si>
    <t>MAN1543 - Strategi dan Pengembangan SDM</t>
  </si>
  <si>
    <t>Anggraini Sukmawati</t>
  </si>
  <si>
    <t>MAN1554 - Manajemen Produk dan Harga</t>
  </si>
  <si>
    <t>Jono Mintarto Munandar</t>
  </si>
  <si>
    <t>MAN1516 - Keuangan dan Tatakelola Korporasi</t>
  </si>
  <si>
    <t>Wita Juwita Ermawati</t>
  </si>
  <si>
    <t>MAN1525 - Strategi Distribusi dan Ritel</t>
  </si>
  <si>
    <t>Mimin Aminah</t>
  </si>
  <si>
    <t>MAN1517 - Manajemen Investasi dan Portofolio</t>
  </si>
  <si>
    <t>MAN1544 - Manajemen Kinerja SDM</t>
  </si>
  <si>
    <t>Mohamad Syamsul Ma'arif</t>
  </si>
  <si>
    <t>MAN1545 - Manajemen Pengetahuan</t>
  </si>
  <si>
    <t>MAN1552 - Rantai Pasok dan Operasi Digital</t>
  </si>
  <si>
    <t>Alim Setiawan Slamet</t>
  </si>
  <si>
    <t>MAN1546 - Manajemen Perubahan Organisasi dan Inovasi</t>
  </si>
  <si>
    <t>MAN1551 - Pemasaran Digital</t>
  </si>
  <si>
    <t>MAN1535 - Manajemen Rantai Pasok dan Logistik</t>
  </si>
  <si>
    <t>MAN1527 - Pemasaran Strategik</t>
  </si>
  <si>
    <t>MAN1536 - Manajemen Proyek Terpadu</t>
  </si>
  <si>
    <t>MAN1515 - Keuangan dan Perbankan Digital</t>
  </si>
  <si>
    <t>MAN1533 - Manajemen Operasi</t>
  </si>
  <si>
    <t>MAN1553 - Manajemen Inovasi dan Digital</t>
  </si>
  <si>
    <t>MAN1518 - Manajemen Risiko Keuangan</t>
  </si>
  <si>
    <t>MAN1534 - Manajemen Mutu dan Inovasi</t>
  </si>
  <si>
    <t>H351 - Sains Agribisnis (AGB)</t>
  </si>
  <si>
    <t>AGB1503 - Metodologi Penelitian Agribisnis</t>
  </si>
  <si>
    <t>Nunung Kusnadi</t>
  </si>
  <si>
    <t>RK 4 AGB 402 PASCA AGB</t>
  </si>
  <si>
    <t>H351 (AGB), H361 (AGB)</t>
  </si>
  <si>
    <t>AGB1622 - Kewirausahaan Agribisnis Tropika</t>
  </si>
  <si>
    <t>Etriya</t>
  </si>
  <si>
    <t>H351 (AGB)</t>
  </si>
  <si>
    <t>AGB1504 - Metode Kuantitatif untuk Agribisnis</t>
  </si>
  <si>
    <t>AGB1517 - Makroekonomi untuk Agribisnis</t>
  </si>
  <si>
    <t>Harianto</t>
  </si>
  <si>
    <t>RK MSA1 PASCA AGB</t>
  </si>
  <si>
    <t>AGB1635 - Rantai Pasok Agribisnis</t>
  </si>
  <si>
    <t>Rita Nurmalina</t>
  </si>
  <si>
    <t>AGB1615 - Struktur Industri Agribisnis</t>
  </si>
  <si>
    <t>AGB1612 - Perencanaan dan Evaluasi Agribisnis</t>
  </si>
  <si>
    <t>AGB1523 - Kewirausahaan dan Inovasi</t>
  </si>
  <si>
    <t>Rachmat Pambudy</t>
  </si>
  <si>
    <t>AGB1632 - Kebijakan Agribisnis</t>
  </si>
  <si>
    <t>Suharno</t>
  </si>
  <si>
    <t>AGB1639 - Prinsip Pengelolaan Mega Data Agribisnis</t>
  </si>
  <si>
    <t>Amzul Rifin</t>
  </si>
  <si>
    <t>AGB1616 - Perilaku Konsumen Produk Agribisnis</t>
  </si>
  <si>
    <t>AGB1613 - Risiko Agribisnis</t>
  </si>
  <si>
    <t>Anna Fariyanti</t>
  </si>
  <si>
    <t>H451 - Ekonomi Sumberdaya dan Lingkungan (ESL)</t>
  </si>
  <si>
    <t>ESL1635 - Valuasi Ekonomi dan Assessmen Kerusakan Sumberdaya Alam dan Lingkungan</t>
  </si>
  <si>
    <t>H451 (ESL)</t>
  </si>
  <si>
    <t>ESL1626 - Analisis Neraca Sumberdaya Alam</t>
  </si>
  <si>
    <t>ESL1627 - Metodologi Penelitian Ekonomi Sumberdaya Alam dan Lingkungan</t>
  </si>
  <si>
    <t>H453 - Ilmu Ekonomi Pertanian (EPN)</t>
  </si>
  <si>
    <t>EKO1608 - Ekonometrika Terapan</t>
  </si>
  <si>
    <t>Sahara</t>
  </si>
  <si>
    <t>H453 (EPN), H463 (EPN)</t>
  </si>
  <si>
    <t>ESL1513 - Ekonomi Usaha Pertanian</t>
  </si>
  <si>
    <t>08:00 - 10:40</t>
  </si>
  <si>
    <t>ESL1512 - Kebijakan Pertanian</t>
  </si>
  <si>
    <t>ESL1515 - Pemasaran Pertanian</t>
  </si>
  <si>
    <t>ESL1518 - Pembangunan Pertanian</t>
  </si>
  <si>
    <t>H453 (EPN)</t>
  </si>
  <si>
    <t>ESL1617 - Metodologi Penelitian dan Penulisan Karya Ilmiah</t>
  </si>
  <si>
    <t>08:10 - 10:40</t>
  </si>
  <si>
    <t>ESL1516 - Ekonomi Konsumsi</t>
  </si>
  <si>
    <t>H454 - Ekonomi Kelautan Tropika (EKT)</t>
  </si>
  <si>
    <t>EKO1604 - Teori Makroekonomi</t>
  </si>
  <si>
    <t>H454 (EKT)</t>
  </si>
  <si>
    <t>ESL1602 - Metodologi Penelitian Ekonomi Kelautan Tropika</t>
  </si>
  <si>
    <t>Tridoyo Kusumastanto</t>
  </si>
  <si>
    <t>EKO1509 - Teori Mikroekonomi</t>
  </si>
  <si>
    <t>ESL1651 - Ekonomi Sumberdaya Kelautan Tropika</t>
  </si>
  <si>
    <t>Eva Anggraini</t>
  </si>
  <si>
    <t>ESL1522 - Metode Kuantitatif untuk Ekonomi Sumberdaya Alam dan Lingkungan</t>
  </si>
  <si>
    <t>ESL1526 - Ekonomi Kelembagaan</t>
  </si>
  <si>
    <t>ESL1652 - Karakteristik dan Pengelolaan Sumberdaya Kelautan Tropika</t>
  </si>
  <si>
    <t>Kastana Sapanli</t>
  </si>
  <si>
    <t>ESL1658 - Ekonomi Kelautan</t>
  </si>
  <si>
    <t>ESL1653 - Kebijakan Kelautan</t>
  </si>
  <si>
    <t>10:45 - 11:30</t>
  </si>
  <si>
    <t>I154 - Ilmu Gizi (GIZ)</t>
  </si>
  <si>
    <t>GIZ164C - Sosio-budaya Pangan dan Gizi</t>
  </si>
  <si>
    <t>Yayuk Farida Baliwati</t>
  </si>
  <si>
    <t>RK 321 PASCA GIZI</t>
  </si>
  <si>
    <t>I154 (GIZ)</t>
  </si>
  <si>
    <t>GIZ152C - Gizi Olahraga dan Kebugaran</t>
  </si>
  <si>
    <t>Hadi Riyadi</t>
  </si>
  <si>
    <t>GIZ154A - Gizi dan Pembangunan</t>
  </si>
  <si>
    <t>Ikeu Tanziha</t>
  </si>
  <si>
    <t>RK 324 PASCA GIZI</t>
  </si>
  <si>
    <t>GIZ162A - Perubahan Perilaku Gizi</t>
  </si>
  <si>
    <t>Ali Khomsan</t>
  </si>
  <si>
    <t>GIZ160A - Metode Penelitian Gizi Lanjut</t>
  </si>
  <si>
    <t>Budi Setiawan</t>
  </si>
  <si>
    <t>GIZ162B - Intervensi Pangan dan Gizi</t>
  </si>
  <si>
    <t>Lilik Kustiyah</t>
  </si>
  <si>
    <t>07:30 - 08:20</t>
  </si>
  <si>
    <t>GIZ163A - Pengembangan Produk Pangan Intervensi</t>
  </si>
  <si>
    <t>Ahmad Sulaeman</t>
  </si>
  <si>
    <t>08:30 - 11:30</t>
  </si>
  <si>
    <t>GIZ151B - Gizi Molekuler dan Klinis</t>
  </si>
  <si>
    <t>Katrin Roosita</t>
  </si>
  <si>
    <t>I251 - Ilmu Keluarga dan Perkembangan Anak (IKA)</t>
  </si>
  <si>
    <t>IKK1501 - Metode Penelitian Keluarga dan Anak</t>
  </si>
  <si>
    <t>Tin Herawati</t>
  </si>
  <si>
    <t>Ruang Kuliah PS IKA</t>
  </si>
  <si>
    <t>I251 (IKA)</t>
  </si>
  <si>
    <t>13:00 - 15:50</t>
  </si>
  <si>
    <t>IKK1623 - Pengembangan Alat Ukur</t>
  </si>
  <si>
    <t>Melly Latifah</t>
  </si>
  <si>
    <t>09:00 - 11:50</t>
  </si>
  <si>
    <t>IKK1616 - Kebijakan Publik dan Keluarga</t>
  </si>
  <si>
    <t>IKK1621 - Pendidikan Holistik Integratif</t>
  </si>
  <si>
    <t>IKK1634 - Keuangan dan Investasi Keluarga</t>
  </si>
  <si>
    <t>Irni Rahmayani Johan</t>
  </si>
  <si>
    <t>IKK1602 - Analisis Data Kuantitatif Keluarga</t>
  </si>
  <si>
    <t>Herien Puspitawati</t>
  </si>
  <si>
    <t>RK. FEMA 305</t>
  </si>
  <si>
    <t>IKK1603 - Analisis Data Kualitatif Keluarga</t>
  </si>
  <si>
    <t>Yulina Eva Riany</t>
  </si>
  <si>
    <t>IKK1617 - Masa Dewasa dan Lansia</t>
  </si>
  <si>
    <t>Diah Krisnatuti</t>
  </si>
  <si>
    <t>I352 - Komunikasi Pembangunan Pertanian dan Pedesaan (KMP)</t>
  </si>
  <si>
    <t>KPM1551 - Metodologi Penelitian Komunikasi dan Penyuluhan Pembangunan</t>
  </si>
  <si>
    <t>Siti Amanah</t>
  </si>
  <si>
    <t>I352 (KMP)</t>
  </si>
  <si>
    <t>09:41 - 10:30</t>
  </si>
  <si>
    <t>KPM1656 - Teknologi Informasi dan Komunikasi dalam Pembangunan</t>
  </si>
  <si>
    <t>Pudji Muljono</t>
  </si>
  <si>
    <t>I352 (KMP), I362 (KMP)</t>
  </si>
  <si>
    <t>14:41 - 15:30</t>
  </si>
  <si>
    <t>13:01 - 14:41</t>
  </si>
  <si>
    <t>KPM1614 - Komunikasi dan Perubahan Sosial</t>
  </si>
  <si>
    <t>Sumardjo</t>
  </si>
  <si>
    <t>08:00 - 09:10</t>
  </si>
  <si>
    <t>KPM165C - Perencanaan dan Evaluasi Partisipatif Program Penyuluhan</t>
  </si>
  <si>
    <t>09:11 - 10:30</t>
  </si>
  <si>
    <t>I353 - Sosiologi Pedesaan (SPD)</t>
  </si>
  <si>
    <t>KPM1564 - Transformasi dan Gerakan Agraria-Lingkungan</t>
  </si>
  <si>
    <t>Arif Satria</t>
  </si>
  <si>
    <t>I353 (SPD)</t>
  </si>
  <si>
    <t>KPM153E - Sosiologi Digital</t>
  </si>
  <si>
    <t>Lala M. Kolopaking</t>
  </si>
  <si>
    <t>KPM1560 - Ekologi Politik</t>
  </si>
  <si>
    <t>Soeryo Adiwibowo</t>
  </si>
  <si>
    <t>KPM1565 - Tata Kelola Agraria-Lingkungan dan Pembangunan Berkelanjutan</t>
  </si>
  <si>
    <t>Arya Hadi Dharmawan</t>
  </si>
  <si>
    <t>KPM1575 - Relasi Komunitas Perdesaan dan Perkotaan</t>
  </si>
  <si>
    <t>Nurmala Katrina Pandjaitan</t>
  </si>
  <si>
    <t>KPM153F - Data Presisi, Ekonomi-Politik, dan Kebudayaa Digital</t>
  </si>
  <si>
    <t>Sofyan Sjaf</t>
  </si>
  <si>
    <t>KPM1574 - Sosiologi Komunitas Digital</t>
  </si>
  <si>
    <t>RK. KPM 510</t>
  </si>
  <si>
    <t>KPM1531 - Sosiologi Ekonomi Pedesaan</t>
  </si>
  <si>
    <t>Saharuddin</t>
  </si>
  <si>
    <t>KPM153G - Analisis dan Solusi Masalah Sosial Teknologi Digital</t>
  </si>
  <si>
    <t>KPM1573 - Tata Kelola Pengembangan Masyarakat</t>
  </si>
  <si>
    <t>14:41 - 16:21</t>
  </si>
  <si>
    <t>KPM1572 - Analisis dan Kebijakan Sosial</t>
  </si>
  <si>
    <t>KPM153C - Metodologi Penelitian Sosiologi Pedesaan</t>
  </si>
  <si>
    <t>K151 - Manajemen dan Bisnis (MB )</t>
  </si>
  <si>
    <t>SBI151A - Ekonomi Manajerial dan Strategi Bisnis</t>
  </si>
  <si>
    <t>Rr. Heny Kuswanti Suwarsinah</t>
  </si>
  <si>
    <t>K151 (MB )</t>
  </si>
  <si>
    <t>SBI1539 - Metode Kuantitatif untuk Bisnis</t>
  </si>
  <si>
    <t>Raden Dikky Indrawan</t>
  </si>
  <si>
    <t>SBI1519 - Etika Bisnis dan Inovasi untuk Keberlanjutan</t>
  </si>
  <si>
    <t>Joyo Winoto</t>
  </si>
  <si>
    <t>SBI152B - Start Up Bio Bisnis</t>
  </si>
  <si>
    <t>Asep Taryana</t>
  </si>
  <si>
    <t>SBI1547 - Bisnis Internasional</t>
  </si>
  <si>
    <t>SBI154I - Teknik-teknik Penilaian Risiko</t>
  </si>
  <si>
    <t>Siti Jahroh</t>
  </si>
  <si>
    <t>SBI1527 - Bisnis dan Pola Pikir Kewirausahaan</t>
  </si>
  <si>
    <t>SBI1529 - Design Thinking dan Inovasi Korporat</t>
  </si>
  <si>
    <t>20:40 - 22:10</t>
  </si>
  <si>
    <t>SBI1538 - Analitika Bisnis</t>
  </si>
  <si>
    <t>Arif Imam Suroso</t>
  </si>
  <si>
    <t>SBI1548 - Kapita Selekta Bisnis dan Manajemen</t>
  </si>
  <si>
    <t>SBI1518 - Komunikasi Bisnis</t>
  </si>
  <si>
    <t>Ninuk Purnaningsih</t>
  </si>
  <si>
    <t>SBI151C - Manajemen Perubahan Strategik</t>
  </si>
  <si>
    <t>Yudha Heryawan Asnawi</t>
  </si>
  <si>
    <t>SBI153C - Sistem Cerdas Pendukung Pengambilan Keputusan</t>
  </si>
  <si>
    <t>SBI154A - Manajemen Investasi dan Portofolio</t>
  </si>
  <si>
    <t>Noer Azam Achsani</t>
  </si>
  <si>
    <t>SBI1528 - Kepemimpinan Intrapreneurial</t>
  </si>
  <si>
    <t>Rizal Sjarief Sjaiful Nazli</t>
  </si>
  <si>
    <t>SBI153A - Metode Riset Bisnis</t>
  </si>
  <si>
    <t>Idqan Fahmi</t>
  </si>
  <si>
    <t>SBI151B - Teknik-teknik Perencanaan Strategik</t>
  </si>
  <si>
    <t>SBI153B - Sistem Manajemen Data untuk Bisnis</t>
  </si>
  <si>
    <t>SBI1549 - Pembelanjaan Perusahaan</t>
  </si>
  <si>
    <t>SBI152A - Inovasi Bio Bisnis</t>
  </si>
  <si>
    <t>SBI1546 - Riset Pasar dan Konsumen</t>
  </si>
  <si>
    <t>Hartoyo</t>
  </si>
  <si>
    <t>SBI154H - Manajemen Risiko Terpadu</t>
  </si>
  <si>
    <t>K/3</t>
  </si>
  <si>
    <t>SBI154E - Manajemen Pengetahuan</t>
  </si>
  <si>
    <t>PPS1503 - Bahasa Inggris</t>
  </si>
  <si>
    <t>K/5</t>
  </si>
  <si>
    <t>Tatie Soedewo</t>
  </si>
  <si>
    <t>SBI154D - Manajemen Kinerja Sumberdaya</t>
  </si>
  <si>
    <t>Popong Nurhayati</t>
  </si>
  <si>
    <t>P051 - Bioteknologi (BTK)</t>
  </si>
  <si>
    <t>BTK1528 - Bioteknologi Pertambangan dan Reklamasi Lahan</t>
  </si>
  <si>
    <t>Dwi Andreas Santosa</t>
  </si>
  <si>
    <t>P051 (BTK)</t>
  </si>
  <si>
    <t>13:00 - 14:30</t>
  </si>
  <si>
    <t>BTK1502 - Fisiologi Molekuler</t>
  </si>
  <si>
    <t>BTK1524 - Bioteknologi Lingkungan</t>
  </si>
  <si>
    <t>BTK1503 - Genetika Molekuler</t>
  </si>
  <si>
    <t>BTK1523 - Rekayasa Genetika Mikrob</t>
  </si>
  <si>
    <t>BTK1504 - Rekayasa Genetika</t>
  </si>
  <si>
    <t>Antonius Suwanto</t>
  </si>
  <si>
    <t>BTK1501 - Prinsip Bioteknologi</t>
  </si>
  <si>
    <t>Prayoga Suryadarma</t>
  </si>
  <si>
    <t>BTK1525 - Teknologi Produksi Organisme Tanah</t>
  </si>
  <si>
    <t>Rahayu Widyastuti</t>
  </si>
  <si>
    <t>09:00 - 12:30</t>
  </si>
  <si>
    <t>BTK1505 - Metodologi Penelitian dan Teknik Penulisan Ilmiah</t>
  </si>
  <si>
    <t>P052 - Ilmu Pengelolaan Sumberdaya Alam dan Lingkungan (PSL)</t>
  </si>
  <si>
    <t>PSL1608 - Pemodelan Spasial Pengelolaan Sumber Daya Alam dan Lingkungan</t>
  </si>
  <si>
    <t>P052 (PSL), P062 (PSL)</t>
  </si>
  <si>
    <t>PSL1615 - Ekologi Politik Sumber Daya Alam dan Lingkungan</t>
  </si>
  <si>
    <t>P052 (PSL)</t>
  </si>
  <si>
    <t>PSL1636 - Kebijakan Pengelolaan Wisata Agro-Eko-Kultural</t>
  </si>
  <si>
    <t>PSL1626 - Manajemen dan Asesmen Eko-toksikologi</t>
  </si>
  <si>
    <t>PSL1635 - Konsumsi Hijau dan Sanitasi Higienis</t>
  </si>
  <si>
    <t>PSL1624 - Instrumen Manajemen Lingkungan</t>
  </si>
  <si>
    <t>PSL1671 - Pengelolaan Sumberdaya Lahan dan Air Berkelanjutan</t>
  </si>
  <si>
    <t>PSL150C - Analisis Pengelolaan Sumber Daya Alam dan Lingkungan</t>
  </si>
  <si>
    <t>Hari Wijayanto</t>
  </si>
  <si>
    <t>PSL1616 - Seni dan Sains Diplomasi Internasional</t>
  </si>
  <si>
    <t>Rizaldi Boer</t>
  </si>
  <si>
    <t>PSL1672 - Ekologi Sumberdaya dan Lingkungan Hutan Tropika</t>
  </si>
  <si>
    <t>PSL1673 - Pengelolaan Konflik Sosial dan Ekologi Politik dalam Pengelolaan Sumber Daya Alam dan Lingkungan</t>
  </si>
  <si>
    <t>Didik Suharjito</t>
  </si>
  <si>
    <t>10:01 - 11:41</t>
  </si>
  <si>
    <t>PSL1675 - Sistem Administrasi Lingkungan</t>
  </si>
  <si>
    <t>Dodik Ridho Nurrochmat</t>
  </si>
  <si>
    <t>PSL1674 - Analisis Risiko Ekologi</t>
  </si>
  <si>
    <t>PSL1632 - Energi Baru dan Terbarukan dari Sumberdaya Agro-maritim</t>
  </si>
  <si>
    <t>PSL1625 - Manajemen Risiko Perubahan Iklim dan Bencana</t>
  </si>
  <si>
    <t>Perdinan</t>
  </si>
  <si>
    <t>19:21 - 22:21</t>
  </si>
  <si>
    <t>09:45 - 11:25</t>
  </si>
  <si>
    <t>PSL1617 - Politik dan Praktik Kebijakan Sumber Daya Alam dan Lingkungan</t>
  </si>
  <si>
    <t>Hariadi</t>
  </si>
  <si>
    <t>17:00 - 17:50</t>
  </si>
  <si>
    <t>18:30 - 21:30</t>
  </si>
  <si>
    <t>P054 - Pengembangan Industri Kecil Menengah (MPI)</t>
  </si>
  <si>
    <t>MPI1521 - Pengantar Industri Kecil Menengah</t>
  </si>
  <si>
    <t>Musa Hubeis</t>
  </si>
  <si>
    <t>P054 (MPI)</t>
  </si>
  <si>
    <t>18:30 - 21:10</t>
  </si>
  <si>
    <t>MPI1504 - Prinsip Ekonomi dan Perekonomian Indonesia</t>
  </si>
  <si>
    <t>Manuntun Parulian Hutagaol</t>
  </si>
  <si>
    <t>MPI1505 - Pengetahuan Bahan Pertanian</t>
  </si>
  <si>
    <t>MPI1541 - Kapita Selekta Industri Kecil Menengah Pertanian</t>
  </si>
  <si>
    <t>20:20 - 22:00</t>
  </si>
  <si>
    <t>MPI1526 - Kunjungan Lapang</t>
  </si>
  <si>
    <t>MPI1525 - Metode Kuantitatif untuk Bisnis</t>
  </si>
  <si>
    <t>Budi Suharjo</t>
  </si>
  <si>
    <t>MPI1502 - Pengenalan Teknologi Informasi</t>
  </si>
  <si>
    <t>Marimin</t>
  </si>
  <si>
    <t>MPI1503 - Matematika dan Statistika Bisnis</t>
  </si>
  <si>
    <t>MPI1524 - Ekonomi Teknik lanjut</t>
  </si>
  <si>
    <t>Muhammad Findi Alexandi</t>
  </si>
  <si>
    <t>13:20 - 15:00</t>
  </si>
  <si>
    <t>MPI1522 - Pengelolaan Industri</t>
  </si>
  <si>
    <t>15:40 - 17:20</t>
  </si>
  <si>
    <t>MPI1523 - Pengetahuan Bahan Agro Industri</t>
  </si>
  <si>
    <t>Sapta Raharja</t>
  </si>
  <si>
    <t>P055 - Logistik Agro-Maritim (LOG)</t>
  </si>
  <si>
    <t>LOG1601 - Metodologi Penelitian</t>
  </si>
  <si>
    <t>P055 (LOG)</t>
  </si>
  <si>
    <t>LOG1643 - Logistik Kemanusiaan dan Bencana</t>
  </si>
  <si>
    <t>LOG1623 - Logistik dan Eco-Fishing Port</t>
  </si>
  <si>
    <t>LOG1631 - Transportasi Ternak dan Produk Ternak</t>
  </si>
  <si>
    <t>LOG1612 - Manajemen Kualitas Bahan Pertanian</t>
  </si>
  <si>
    <t>LOG1622 - Kebijakan Pengembangan Sistem Logistik Ikan Nasional</t>
  </si>
  <si>
    <t>08:00 - 11:20</t>
  </si>
  <si>
    <t>LOG1641 - Kebijakan Logistik Agro-Maritim</t>
  </si>
  <si>
    <t>LOG1613 - Topik Khusus</t>
  </si>
  <si>
    <t>LOG1642 - Sistem Rantai Pasok Industri Bahan Penyegar dan Minyak Atsiri</t>
  </si>
  <si>
    <t>LOG1624 - Dinamika Permintaan Hasil Perikanan</t>
  </si>
  <si>
    <t>Taryono</t>
  </si>
  <si>
    <t>LOG1614 - GMP pada Produk Pertanian</t>
  </si>
  <si>
    <t>Edi Santosa</t>
  </si>
  <si>
    <t>LOG1611 - Penanganan Hasil Pertanian</t>
  </si>
  <si>
    <t>Heni Purnamawati</t>
  </si>
  <si>
    <t>LOG1632 - Kualitas dan Keamanan Produk Ternak</t>
  </si>
  <si>
    <t>Irma Isnafia Arief</t>
  </si>
  <si>
    <t>LOG1621 - Transportasi Laut Hasil Perikanan</t>
  </si>
  <si>
    <t>LOG1625 - GSCM Komoditas Maritim</t>
  </si>
  <si>
    <t>Mentah</t>
  </si>
  <si>
    <t>No</t>
  </si>
  <si>
    <t>Nama Prodi</t>
  </si>
  <si>
    <t>Singkatan</t>
  </si>
  <si>
    <t>Kode Fakultas</t>
  </si>
  <si>
    <t>Syntax SQL</t>
  </si>
  <si>
    <t>Kode Fk</t>
  </si>
  <si>
    <t>Nama Fk</t>
  </si>
  <si>
    <t>Jmlh Prodi</t>
  </si>
  <si>
    <t>a</t>
  </si>
  <si>
    <t>Fakultas Pertanian</t>
  </si>
  <si>
    <t>b</t>
  </si>
  <si>
    <t>Sekolah Kedokteran Hewan dan Biomedis</t>
  </si>
  <si>
    <t>c</t>
  </si>
  <si>
    <t>Fakultas Perikanan dan Ilmu Kelautan</t>
  </si>
  <si>
    <t>d</t>
  </si>
  <si>
    <t>Fakultas Peternakan</t>
  </si>
  <si>
    <t>e</t>
  </si>
  <si>
    <t>Fakultas Kehutanan</t>
  </si>
  <si>
    <t>f</t>
  </si>
  <si>
    <t>Fakultas Teknologi Pertanian</t>
  </si>
  <si>
    <t>g</t>
  </si>
  <si>
    <t>Fakultas Matematika dan Ilmu Pengetahuan Alam</t>
  </si>
  <si>
    <t>h</t>
  </si>
  <si>
    <t>Fakultas Ekonomi dan Manajemen</t>
  </si>
  <si>
    <t>i</t>
  </si>
  <si>
    <t>Fakultas Ekologi Manusia</t>
  </si>
  <si>
    <t>k</t>
  </si>
  <si>
    <t>Sekolah Bisnis</t>
  </si>
  <si>
    <t>p</t>
  </si>
  <si>
    <t>Multidisiplin</t>
  </si>
  <si>
    <t>l</t>
  </si>
  <si>
    <t>Lainnya</t>
  </si>
  <si>
    <t>Kode MK</t>
  </si>
  <si>
    <t>Nama MK</t>
  </si>
  <si>
    <t>Kode Ruangan</t>
  </si>
  <si>
    <t>TNH1503</t>
  </si>
  <si>
    <t>A0002</t>
  </si>
  <si>
    <t>('TNH1503','K/1','Senin','08:00 - 09:40','A0002'),</t>
  </si>
  <si>
    <t>TNH1602</t>
  </si>
  <si>
    <t>A000B1C3</t>
  </si>
  <si>
    <t>('TNH1602','K/1','Senin','08:00 - 10:00','A000B1C3'),</t>
  </si>
  <si>
    <t>TNH1605</t>
  </si>
  <si>
    <t>A0005</t>
  </si>
  <si>
    <t>('TNH1605','K/1','Senin','09:00 - 11:00','A0005'),</t>
  </si>
  <si>
    <t>PWL1607</t>
  </si>
  <si>
    <t>20 ARL 405 A</t>
  </si>
  <si>
    <t>('PWL1607','K/1','Senin','10:00 - 11:40','20 ARL 405 A'),</t>
  </si>
  <si>
    <t>TNH1601</t>
  </si>
  <si>
    <t>('TNH1601','K/1','Senin','14:00 - 16:30','A000B1C3'),</t>
  </si>
  <si>
    <t>TNH1511</t>
  </si>
  <si>
    <t>('TNH1511','K/1','Selasa','08:00 - 09:40','A0005'),</t>
  </si>
  <si>
    <t>TNH1522</t>
  </si>
  <si>
    <t>20 ARL 405 B</t>
  </si>
  <si>
    <t>('TNH1522','K/1','Selasa','10:00 - 11:40','20 ARL 405 B'),</t>
  </si>
  <si>
    <t>TNH1606</t>
  </si>
  <si>
    <t>A000CKB1</t>
  </si>
  <si>
    <t>('TNH1606','K/1','Selasa','13:00 - 15:30','A000CKB1'),</t>
  </si>
  <si>
    <t>TNH1612</t>
  </si>
  <si>
    <t>A000CKB2</t>
  </si>
  <si>
    <t>('TNH1612','K/1','Selasa','14:00 - 15:40','A000CKB2'),</t>
  </si>
  <si>
    <t>TNH1632</t>
  </si>
  <si>
    <t>('TNH1632','K/1','Rabu','07:00 - 09:30','20 ARL 405 B'),</t>
  </si>
  <si>
    <t>TNH1607</t>
  </si>
  <si>
    <t>A0003B21</t>
  </si>
  <si>
    <t>('TNH1607','K/1','Rabu','13:00 - 15:30','A0003B21'),</t>
  </si>
  <si>
    <t>TNH1642</t>
  </si>
  <si>
    <t>A164401A</t>
  </si>
  <si>
    <t>('TNH1642','K/1','Rabu','14:00 - 15:40','A164401A'),</t>
  </si>
  <si>
    <t>TNH1514</t>
  </si>
  <si>
    <t>A0004B12</t>
  </si>
  <si>
    <t>('TNH1514','K/1','Kamis','08:00 - 09:40','A0004B12'),</t>
  </si>
  <si>
    <t>A153301A</t>
  </si>
  <si>
    <t>('TNH1511','P/1','Kamis','13:00 - 16:00','A153301A'),</t>
  </si>
  <si>
    <t>TNH1541</t>
  </si>
  <si>
    <t>A164401C</t>
  </si>
  <si>
    <t>('TNH1541','K/1','Kamis','14:00 - 15:40','A164401C'),</t>
  </si>
  <si>
    <t>TNH1633</t>
  </si>
  <si>
    <t>A0003</t>
  </si>
  <si>
    <t>('TNH1633','K/1','Jumat','08:00 - 10:30','A0003'),</t>
  </si>
  <si>
    <t>TNH1621</t>
  </si>
  <si>
    <t>('TNH1621','K/1','Jumat','14:00 - 15:40','20 ARL 405 B'),</t>
  </si>
  <si>
    <t>PWL1563</t>
  </si>
  <si>
    <t>A00000BD</t>
  </si>
  <si>
    <t>('PWL1563','K/1','Senin','08:00 - 09:40','A00000BD'),</t>
  </si>
  <si>
    <t>PWL1604</t>
  </si>
  <si>
    <t>A000LKP3</t>
  </si>
  <si>
    <t>('PWL1604','K/1','Senin','08:00 - 09:40','A000LKP3'),</t>
  </si>
  <si>
    <t>PWD1503</t>
  </si>
  <si>
    <t>Studio</t>
  </si>
  <si>
    <t>('PWD1503','K/1','Senin','13:00 - 14:40','Studio'),</t>
  </si>
  <si>
    <t>PWL1651</t>
  </si>
  <si>
    <t>A0003B22</t>
  </si>
  <si>
    <t>('PWL1651','K/1','Selasa','10:00 - 11:40','A0003B22'),</t>
  </si>
  <si>
    <t>PWL1606</t>
  </si>
  <si>
    <t>('PWL1606','K/1','Selasa','13:00 - 14:40','A0004B12'),</t>
  </si>
  <si>
    <t>PWL1608</t>
  </si>
  <si>
    <t>('PWL1608','K/1','Selasa','13:00 - 14:40','A0003B21'),</t>
  </si>
  <si>
    <t>A0004</t>
  </si>
  <si>
    <t>('PWL1606','P/1','Selasa','14:41 - 17:41','A0004'),</t>
  </si>
  <si>
    <t>PWL1601</t>
  </si>
  <si>
    <t>('PWL1601','K/1','Rabu','13:00 - 14:40','A0003B22'),</t>
  </si>
  <si>
    <t>A000LKP1</t>
  </si>
  <si>
    <t>('PWL1601','P/1','Rabu','14:41 - 17:41','A000LKP1'),</t>
  </si>
  <si>
    <t>PWL1654</t>
  </si>
  <si>
    <t>('PWL1654','K/1','Kamis','08:00 - 09:40','A164401A'),</t>
  </si>
  <si>
    <t>PWL1565</t>
  </si>
  <si>
    <t>A000B1C1</t>
  </si>
  <si>
    <t>('PWL1565','K/1','Kamis','10:00 - 11:40','A000B1C1'),</t>
  </si>
  <si>
    <t>PWL1631</t>
  </si>
  <si>
    <t>('PWL1631','K/1','Kamis','10:00 - 11:40','A0005'),</t>
  </si>
  <si>
    <t>TNH1635</t>
  </si>
  <si>
    <t>('TNH1635','K/1','Kamis','10:00 - 11:40','A000LKP3'),</t>
  </si>
  <si>
    <t>PWL1532</t>
  </si>
  <si>
    <t>('PWL1532','K/1','Kamis','13:00 - 14:40','A0004B12'),</t>
  </si>
  <si>
    <t>PWL1605</t>
  </si>
  <si>
    <t>A144401A</t>
  </si>
  <si>
    <t>('PWL1605','K/1','Kamis','13:00 - 14:40','A144401A'),</t>
  </si>
  <si>
    <t>PWL1531</t>
  </si>
  <si>
    <t>A0830307</t>
  </si>
  <si>
    <t>('PWL1531','K/1','Jumat','08:00 - 09:40','A0830307'),</t>
  </si>
  <si>
    <t>PWL1603</t>
  </si>
  <si>
    <t>('PWL1603','P/1','Jumat','08:00 - 09:40','A0003'),</t>
  </si>
  <si>
    <t>A0006</t>
  </si>
  <si>
    <t>('PWD1503','P/1','Jumat','13:30 - 16:30','A0006'),</t>
  </si>
  <si>
    <t>PTN1504</t>
  </si>
  <si>
    <t>('PTN1504','P/1','Senin','07:00 - 10:00','A164401A'),</t>
  </si>
  <si>
    <t>G0013</t>
  </si>
  <si>
    <t>('PTN1504','K/1','Senin','10:10 - 11:50','G0013'),</t>
  </si>
  <si>
    <t>ENT1601</t>
  </si>
  <si>
    <t>('ENT1601','K/1','Senin','13:00 - 14:40','G0013'),</t>
  </si>
  <si>
    <t>FIT1627</t>
  </si>
  <si>
    <t>('FIT1627','K/1','Senin','15:00 - 16:40','A0003'),</t>
  </si>
  <si>
    <t>('ENT1601','P/1','Selasa','07:00 - 10:00','A0004B12'),</t>
  </si>
  <si>
    <t>FIT1623</t>
  </si>
  <si>
    <t>('FIT1623','P/1','Selasa','07:00 - 10:00','A0002'),</t>
  </si>
  <si>
    <t>FIT1624</t>
  </si>
  <si>
    <t>('FIT1624','P/1','Selasa','07:00 - 10:00','Studio'),</t>
  </si>
  <si>
    <t>FIT1625</t>
  </si>
  <si>
    <t>LabKomp1</t>
  </si>
  <si>
    <t>('FIT1625','P/1','Selasa','07:00 - 10:00','LabKomp1'),</t>
  </si>
  <si>
    <t>FIT1626</t>
  </si>
  <si>
    <t>A000B1C2</t>
  </si>
  <si>
    <t>('FIT1626','P/1','Selasa','07:00 - 10:00','A000B1C2'),</t>
  </si>
  <si>
    <t>FIT1629</t>
  </si>
  <si>
    <t>('FIT1629','K/1','Selasa','16:10 - 17:50','A0003B22'),</t>
  </si>
  <si>
    <t>FIT1653</t>
  </si>
  <si>
    <t>('FIT1653','K/1','Selasa','16:10 - 17:50','A0002'),</t>
  </si>
  <si>
    <t>FIT1628</t>
  </si>
  <si>
    <t>('FIT1628','P/1','Rabu','07:00 - 10:00','A000CKB2'),</t>
  </si>
  <si>
    <t>('FIT1628','K/1','Rabu','13:00 - 14:40','A0003'),</t>
  </si>
  <si>
    <t>('FIT1623','K/1','Kamis','08:10 - 09:40','A0006'),</t>
  </si>
  <si>
    <t>('FIT1624','K/1','Kamis','08:10 - 09:40','G0013'),</t>
  </si>
  <si>
    <t>('FIT1625','K/1','Kamis','08:10 - 09:40','LabKomp1'),</t>
  </si>
  <si>
    <t>('FIT1626','K/1','Kamis','08:10 - 09:40','A000CKB2'),</t>
  </si>
  <si>
    <t>ENT1501</t>
  </si>
  <si>
    <t>('ENT1501','K/1','Kamis','10:00 - 11:40','A0002'),</t>
  </si>
  <si>
    <t>('ENT1501','P/1','Kamis','13:00 - 16:00','20 ARL 405 A'),</t>
  </si>
  <si>
    <t>A164401B</t>
  </si>
  <si>
    <t>('FIT1627','P/1','Jumat','07:00 - 10:00','A164401B'),</t>
  </si>
  <si>
    <t>('FIT1629','P/1','Jumat','13:30 - 16:30','LabKomp1'),</t>
  </si>
  <si>
    <t>A10W5501</t>
  </si>
  <si>
    <t>('FIT1653','P/1','Jumat','13:30 - 16:30','A10W5501'),</t>
  </si>
  <si>
    <t>AGH1628</t>
  </si>
  <si>
    <t>('AGH1628','K/1','Senin','08:00 - 09:40','Studio'),</t>
  </si>
  <si>
    <t>AGH1602</t>
  </si>
  <si>
    <t>('AGH1602','K/1','Senin','10:00 - 11:40','A0003'),</t>
  </si>
  <si>
    <t>AGH1624</t>
  </si>
  <si>
    <t>('AGH1624','K/1','Selasa','07:00 - 08:40','A00000BD'),</t>
  </si>
  <si>
    <t>A164401D</t>
  </si>
  <si>
    <t>('AGH1624','P/1','Selasa','11:00 - 14:00','A164401D'),</t>
  </si>
  <si>
    <t>AGH1642</t>
  </si>
  <si>
    <t>('AGH1642','K/1','Selasa','13:00 - 14:40','A0004B12'),</t>
  </si>
  <si>
    <t>('AGH1642','P/1','Selasa','15:00 - 18:00','A000CKB2'),</t>
  </si>
  <si>
    <t>AGH1501</t>
  </si>
  <si>
    <t>('AGH1501','K/1','Rabu','08:00 - 09:00','A0005'),</t>
  </si>
  <si>
    <t>('AGH1501','P/1','Rabu','13:00 - 16:00','A0005'),</t>
  </si>
  <si>
    <t>('AGH1602','P/1','Rabu','13:00 - 16:00','A164401C'),</t>
  </si>
  <si>
    <t>('AGH1602','P/2','Rabu','13:00 - 16:00','A000LKP1'),</t>
  </si>
  <si>
    <t>AGH1626</t>
  </si>
  <si>
    <t>A0004B11</t>
  </si>
  <si>
    <t>('AGH1626','K/1','Kamis','08:00 - 09:40','A0004B11'),</t>
  </si>
  <si>
    <t>('AGH1626','P/1','Kamis','10:00 - 13:00','A164401B'),</t>
  </si>
  <si>
    <t>AGH162E</t>
  </si>
  <si>
    <t>('AGH162E','K/1','Kamis','13:00 - 14:40','A000B1C3'),</t>
  </si>
  <si>
    <t>A0001</t>
  </si>
  <si>
    <t>('AGH1628','P/1','Kamis','13:00 - 16:00','A0001'),</t>
  </si>
  <si>
    <t>A0630301</t>
  </si>
  <si>
    <t>('AGH162E','P/1','Kamis','14:40 - 17:40','A0630301'),</t>
  </si>
  <si>
    <t>AGH1503</t>
  </si>
  <si>
    <t>('AGH1503','P/1','Jumat','06:30 - 09:30','A0001'),</t>
  </si>
  <si>
    <t>('AGH1503','P/2','Jumat','06:30 - 09:30','A000CKB1'),</t>
  </si>
  <si>
    <t>('AGH1503','K/1','Jumat','09:30 - 11:10','A0004B12'),</t>
  </si>
  <si>
    <t>A164401E</t>
  </si>
  <si>
    <t>('AGH1503','K/2','Jumat','09:30 - 11:10','A164401E'),</t>
  </si>
  <si>
    <t>PBT1501</t>
  </si>
  <si>
    <t>('PBT1501','K/1','Senin','08:00 - 09:40','A0003B21'),</t>
  </si>
  <si>
    <t>PBT1636</t>
  </si>
  <si>
    <t>A0440404</t>
  </si>
  <si>
    <t>('PBT1636','K/1','Senin','08:00 - 09:40','A0440404'),</t>
  </si>
  <si>
    <t>('PBT1501','P/1','Senin','10:00 - 13:00','A0003'),</t>
  </si>
  <si>
    <t>('PBT1636','P/1','Senin','10:00 - 13:00','Studio'),</t>
  </si>
  <si>
    <t>PBT1611</t>
  </si>
  <si>
    <t>('PBT1611','K/1','Senin','14:00 - 15:40','A0001'),</t>
  </si>
  <si>
    <t>PBT1602</t>
  </si>
  <si>
    <t>('PBT1602','P/1','Selasa','07:00 - 10:00','A000B1C3'),</t>
  </si>
  <si>
    <t>('PBT1602','P/2','Selasa','07:00 - 10:00','Studio'),</t>
  </si>
  <si>
    <t>('PBT1602','K/1','Selasa','10:20 - 12:00','A0006'),</t>
  </si>
  <si>
    <t>PBT1633</t>
  </si>
  <si>
    <t>('PBT1633','K/1','Selasa','13:00 - 14:40','A000CKB1'),</t>
  </si>
  <si>
    <t>('PBT1633','P/1','Selasa','14:40 - 17:40','A000B1C1'),</t>
  </si>
  <si>
    <t>PBT1615</t>
  </si>
  <si>
    <t>('PBT1615','K/1','Rabu','08:00 - 09:40','A0003B21'),</t>
  </si>
  <si>
    <t>('PBT1615','P/1','Rabu','13:00 - 16:00','A000B1C2'),</t>
  </si>
  <si>
    <t>PBT1603</t>
  </si>
  <si>
    <t>('PBT1603','K/1','Kamis','08:00 - 09:40','A0003B22'),</t>
  </si>
  <si>
    <t>('PBT1603','P/1','Kamis','10:00 - 13:00','A164401C'),</t>
  </si>
  <si>
    <t>('PBT1603','P/2','Kamis','10:00 - 13:00','LabKomp1'),</t>
  </si>
  <si>
    <t>PBT1635</t>
  </si>
  <si>
    <t>('PBT1635','K/1','Kamis','13:00 - 14:10','A164401E'),</t>
  </si>
  <si>
    <t>('PBT1635','P/1','Kamis','14:40 - 17:40','A0005'),</t>
  </si>
  <si>
    <t>PBT1604</t>
  </si>
  <si>
    <t>('PBT1604','K/1','Jumat','13:00 - 14:40','A0005'),</t>
  </si>
  <si>
    <t>('PBT1604','P/1','Jumat','14:40 - 17:40','A0004B12'),</t>
  </si>
  <si>
    <t>A144401C</t>
  </si>
  <si>
    <t>('PBT1604','P/2','Jumat','14:40 - 17:40','A144401C'),</t>
  </si>
  <si>
    <t>ENT1616</t>
  </si>
  <si>
    <t>('ENT1616','P/1','Senin','07:00 - 10:00','A0830307'),</t>
  </si>
  <si>
    <t>PHT1537</t>
  </si>
  <si>
    <t>('PHT1537','P/1','Senin','07:00 - 10:00','A0006'),</t>
  </si>
  <si>
    <t>ENT1641</t>
  </si>
  <si>
    <t>('ENT1641','K/1','Senin','08:00 - 09:40','A0004B12'),</t>
  </si>
  <si>
    <t>('PTN1504','K/2','Senin','10:10 - 11:50','A0001'),</t>
  </si>
  <si>
    <t>('ENT1616','K/1','Senin','15:00 - 16:40','A164401A'),</t>
  </si>
  <si>
    <t>('PHT1537','K/1','Senin','15:00 - 16:40','Studio'),</t>
  </si>
  <si>
    <t>ENT1533</t>
  </si>
  <si>
    <t>('ENT1533','K/1','Selasa','10:10 - 11:50','A0001'),</t>
  </si>
  <si>
    <t>('PTN1504','P/2','Selasa','13:00 - 16:00','A000B1C3'),</t>
  </si>
  <si>
    <t>PHT1538</t>
  </si>
  <si>
    <t>('PHT1538','P/1','Rabu','07:00 - 10:00','A000CKB2'),</t>
  </si>
  <si>
    <t>('PHT1538','K/1','Rabu','13:00 - 14:40','A0006'),</t>
  </si>
  <si>
    <t>('ENT1533','P/1','Kamis','07:00 - 10:00','A164401D'),</t>
  </si>
  <si>
    <t>ENT1613</t>
  </si>
  <si>
    <t>('ENT1613','K/1','Jumat','09:00 - 10:40','G0013'),</t>
  </si>
  <si>
    <t>PHT1534</t>
  </si>
  <si>
    <t>('PHT1534','K/1','Jumat','13:00 - 14:40','A10W5501'),</t>
  </si>
  <si>
    <t>('ENT1613','P/1','Jumat','13:00 - 16:00','A000B1C3'),</t>
  </si>
  <si>
    <t>('PHT1534','P/1','Jumat','15:00 - 18:00','20 ARL 405 A'),</t>
  </si>
  <si>
    <t>ENT1602</t>
  </si>
  <si>
    <t>('ENT1602','P/1','Sabtu','07:00 - 08:40','A0630301'),</t>
  </si>
  <si>
    <t>PHT1503</t>
  </si>
  <si>
    <t>('PHT1503','K/2','Rabu','19:00 - 20:40','A0001'),</t>
  </si>
  <si>
    <t>PHT1533</t>
  </si>
  <si>
    <t>('PHT1533','K/2','Kamis','18:00 - 19:40','A164401C'),</t>
  </si>
  <si>
    <t>PHT1535</t>
  </si>
  <si>
    <t>('PHT1535','K/2','Kamis','18:00 - 19:40','A0006'),</t>
  </si>
  <si>
    <t>PHT1651</t>
  </si>
  <si>
    <t>('PHT1651','K/1','Kamis','18:00 - 19:40','A164401D'),</t>
  </si>
  <si>
    <t>('PHT1503','P/2','Jumat','19:00 - 21:00','20 ARL 405 B'),</t>
  </si>
  <si>
    <t>PHT1521</t>
  </si>
  <si>
    <t>('PHT1521','P/1','Sabtu','07:00 - 10:00','A000CKB1'),</t>
  </si>
  <si>
    <t>PHT1531</t>
  </si>
  <si>
    <t>('PHT1531','P/1','Sabtu','10:00 - 13:00','A0440404'),</t>
  </si>
  <si>
    <t>('PHT1533','P/2','Sabtu','13:00 - 16:00','A164401B'),</t>
  </si>
  <si>
    <t>('PHT1535','P/2','Sabtu','13:00 - 16:00','A164401D'),</t>
  </si>
  <si>
    <t>('PHT1651','P/2','Sabtu','13:00 - 16:00','A0004'),</t>
  </si>
  <si>
    <t>('PHT1521','K/1','Sabtu','16:00 - 17:40','A0006'),</t>
  </si>
  <si>
    <t>('PHT1531','K/1','Sabtu','18:30 - 20:10','A164401E'),</t>
  </si>
  <si>
    <t>ARL1636</t>
  </si>
  <si>
    <t>('ARL1636','K/1','Senin','08:00 - 09:40','A0004'),</t>
  </si>
  <si>
    <t>ARL1501</t>
  </si>
  <si>
    <t>('ARL1501','K/1','Senin','10:00 - 11:40','A0004'),</t>
  </si>
  <si>
    <t>('ARL1501','P/1','Senin','13:00 - 16:00','A0004'),</t>
  </si>
  <si>
    <t>ARL1513</t>
  </si>
  <si>
    <t>('ARL1513','K/1','Selasa','08:00 - 09:40','A0004'),</t>
  </si>
  <si>
    <t>('ARL1513','P/1','Selasa','10:00 - 13:00','A0004'),</t>
  </si>
  <si>
    <t>ARL1603</t>
  </si>
  <si>
    <t>('ARL1603','K/1','Selasa','13:00 - 13:50','A0004'),</t>
  </si>
  <si>
    <t>('ARL1603','P/1','Selasa','14:00 - 17:00','A0004'),</t>
  </si>
  <si>
    <t>ARL1626</t>
  </si>
  <si>
    <t>('ARL1626','K/1','Rabu','08:00 - 09:40','A0004'),</t>
  </si>
  <si>
    <t>ARL1611</t>
  </si>
  <si>
    <t>('ARL1611','K/1','Rabu','13:00 - 13:50','A0004'),</t>
  </si>
  <si>
    <t>('ARL1611','P/1','Rabu','14:00 - 17:00','A0004'),</t>
  </si>
  <si>
    <t>ARL1633</t>
  </si>
  <si>
    <t>('ARL1633','K/1','Kamis','08:00 - 09:40','A0004'),</t>
  </si>
  <si>
    <t>ARL1602</t>
  </si>
  <si>
    <t>('ARL1602','P/1','Kamis','10:00 - 16:00','A0004'),</t>
  </si>
  <si>
    <t>ARL1635</t>
  </si>
  <si>
    <t>('ARL1635','K/1','Jumat','08:00 - 09:40','A0004'),</t>
  </si>
  <si>
    <t>ARL1625</t>
  </si>
  <si>
    <t>('ARL1625','K/1','Jumat','13:30 - 15:10','A164401A'),</t>
  </si>
  <si>
    <t>('ARL1625','P/1','Jumat','14:20 - 17:20','A0004'),</t>
  </si>
  <si>
    <t>SVB156A</t>
  </si>
  <si>
    <t>B000MOES-B</t>
  </si>
  <si>
    <t>('SVB156A','K/1','Senin','07:00 - 07:50','B000MOES-B'),</t>
  </si>
  <si>
    <t>B051LFIF</t>
  </si>
  <si>
    <t>('SVB156A','P/1','Senin','08:00 - 10:00','B051LFIF'),</t>
  </si>
  <si>
    <t>SVB1533</t>
  </si>
  <si>
    <t>LAB-CYBER2</t>
  </si>
  <si>
    <t>('SVB1533','K/1','Senin','08:30 - 10:20','LAB-CYBER2'),</t>
  </si>
  <si>
    <t>SVB1505</t>
  </si>
  <si>
    <t>B0220803</t>
  </si>
  <si>
    <t>('SVB1505','K/1','Senin','09:00 - 10:40','B0220803'),</t>
  </si>
  <si>
    <t>SVB154A</t>
  </si>
  <si>
    <t>B043REPR</t>
  </si>
  <si>
    <t>('SVB154A','K/1','Senin','09:00 - 10:40','B043REPR'),</t>
  </si>
  <si>
    <t>SVB1553</t>
  </si>
  <si>
    <t>B051HLAB</t>
  </si>
  <si>
    <t>('SVB1553','K/1','Senin','09:00 - 11:00','B051HLAB'),</t>
  </si>
  <si>
    <t>SVB1551</t>
  </si>
  <si>
    <t>B062KESM</t>
  </si>
  <si>
    <t>('SVB1551','K/1','Senin','09:30 - 11:10','B062KESM'),</t>
  </si>
  <si>
    <t>SVB1569</t>
  </si>
  <si>
    <t>B083ANAT</t>
  </si>
  <si>
    <t>('SVB1569','K/1','Senin','10:00 - 11:40','B083ANAT'),</t>
  </si>
  <si>
    <t>('SVB1533','P/1','Senin','10:30 - 13:00','B051HLAB'),</t>
  </si>
  <si>
    <t>B0220801</t>
  </si>
  <si>
    <t>('SVB1505','P/1','Senin','11:00 - 13:30','B0220801'),</t>
  </si>
  <si>
    <t>SVB1564</t>
  </si>
  <si>
    <t>B051FARM</t>
  </si>
  <si>
    <t>('SVB1564','K/1','Senin','13:00 - 15:00','B051FARM'),</t>
  </si>
  <si>
    <t>('SVB1569','P/1','Senin','13:00 - 15:30','B051HLAB'),</t>
  </si>
  <si>
    <t>B001FARM</t>
  </si>
  <si>
    <t>('SVB1553','P/1','Senin','13:00 - 15:45','B001FARM'),</t>
  </si>
  <si>
    <t>B051LFIF3</t>
  </si>
  <si>
    <t>('SVB1551','P/1','Senin','13:30 - 16:00','B051LFIF3'),</t>
  </si>
  <si>
    <t>SVB1543</t>
  </si>
  <si>
    <t>('SVB1543','K/1','Selasa','08:00 - 08:50','B051LFIF'),</t>
  </si>
  <si>
    <t>SVB1522</t>
  </si>
  <si>
    <t>B013TRPD3</t>
  </si>
  <si>
    <t>('SVB1522','K/1','Selasa','08:00 - 09:40','B013TRPD3'),</t>
  </si>
  <si>
    <t>SVB1565</t>
  </si>
  <si>
    <t>B0240807</t>
  </si>
  <si>
    <t>('SVB1565','K/1','Selasa','08:00 - 10:00','B0240807'),</t>
  </si>
  <si>
    <t>SVB1627</t>
  </si>
  <si>
    <t>('SVB1627','K/1','Selasa','09:00 - 09:50','B013TRPD3'),</t>
  </si>
  <si>
    <t>SVB1556</t>
  </si>
  <si>
    <t>B014RRB2</t>
  </si>
  <si>
    <t>('SVB1556','K/1','Selasa','09:00 - 10:00','B014RRB2'),</t>
  </si>
  <si>
    <t>B013TRPD2</t>
  </si>
  <si>
    <t>('SVB1543','P/1','Selasa','09:00 - 11:00','B013TRPD2'),</t>
  </si>
  <si>
    <t>SVB156D</t>
  </si>
  <si>
    <t>B0DIPDLM</t>
  </si>
  <si>
    <t>('SVB156D','K/1','Selasa','09:00 - 11:00','B0DIPDLM'),</t>
  </si>
  <si>
    <t>SVB1513</t>
  </si>
  <si>
    <t>('SVB1513','K/1','Selasa','09:00 - 11:30','B051HLAB'),</t>
  </si>
  <si>
    <t>SVB1595</t>
  </si>
  <si>
    <t>B000FKHA</t>
  </si>
  <si>
    <t>('SVB1595','P/1','Selasa','09:00 - 14:00','B000FKHA'),</t>
  </si>
  <si>
    <t>SVB1552</t>
  </si>
  <si>
    <t>('SVB1552','K/1','Selasa','10:00 - 12:00','B000FKHA'),</t>
  </si>
  <si>
    <t>B032KLIN</t>
  </si>
  <si>
    <t>('SVB1522','P/1','Selasa','10:00 - 12:30','B032KLIN'),</t>
  </si>
  <si>
    <t>('SVB1556','P/1','Selasa','10:00 - 12:30','B0220803'),</t>
  </si>
  <si>
    <t>('SVB1627','P/1','Selasa','10:00 - 12:30','B000FKHA'),</t>
  </si>
  <si>
    <t>SVB1561</t>
  </si>
  <si>
    <t>('SVB1561','K/1','Selasa','11:00 - 13:00','LAB-CYBER2'),</t>
  </si>
  <si>
    <t>SVB151C</t>
  </si>
  <si>
    <t>B001FARM-2</t>
  </si>
  <si>
    <t>('SVB151C','K/1','Selasa','13:00 - 14:40','B001FARM-2'),</t>
  </si>
  <si>
    <t>B063PKIT</t>
  </si>
  <si>
    <t>('SVB156D','P/1','Selasa','13:00 - 15:00','B063PKIT'),</t>
  </si>
  <si>
    <t>B00PROTO</t>
  </si>
  <si>
    <t>('SVB1552','P/1','Selasa','13:00 - 15:40','B00PROTO'),</t>
  </si>
  <si>
    <t>SVB1557</t>
  </si>
  <si>
    <t>('SVB1557','K/1','Selasa','13:30 - 15:30','B051FARM'),</t>
  </si>
  <si>
    <t>('SVB1565','P/1','Selasa','13:30 - 15:30','B013TRPD3'),</t>
  </si>
  <si>
    <t>SVB1626</t>
  </si>
  <si>
    <t>('SVB1626','K/1','Selasa','14:00 - 15:40','B0220801'),</t>
  </si>
  <si>
    <t>STA1515</t>
  </si>
  <si>
    <t>B000FKB2</t>
  </si>
  <si>
    <t>('STA1515','K/1','Rabu','07:30 - 09:30','B000FKB2'),</t>
  </si>
  <si>
    <t>SVB1625</t>
  </si>
  <si>
    <t>('SVB1625','K/1','Rabu','08:00 - 10:00','B051LFIF'),</t>
  </si>
  <si>
    <t>SVB1596</t>
  </si>
  <si>
    <t>('SVB1596','P/1','Rabu','08:30 - 16:00','B0220801'),</t>
  </si>
  <si>
    <t>SVB1555</t>
  </si>
  <si>
    <t>('SVB1555','K/1','Rabu','09:00 - 09:50','B0220801'),</t>
  </si>
  <si>
    <t>SVB1634</t>
  </si>
  <si>
    <t>('SVB1634','K/1','Rabu','09:00 - 10:40','LAB-CYBER2'),</t>
  </si>
  <si>
    <t>SVB1562</t>
  </si>
  <si>
    <t>('SVB1562','K/1','Rabu','10:00 - 12:00','B0240807'),</t>
  </si>
  <si>
    <t>B000RURR-C</t>
  </si>
  <si>
    <t>('SVB1625','P/1','Rabu','10:00 - 12:00','B000RURR-C'),</t>
  </si>
  <si>
    <t>('SVB1555','P/1','Rabu','10:00 - 12:30','B051HLAB'),</t>
  </si>
  <si>
    <t>('STA1515','P/1','Rabu','13:00 - 15:00','B000FKB2'),</t>
  </si>
  <si>
    <t>SVB1545</t>
  </si>
  <si>
    <t>('SVB1545','P/1','Rabu','15:10 - 17:40','B000MOES-B'),</t>
  </si>
  <si>
    <t>SVB156C</t>
  </si>
  <si>
    <t>('SVB156C','K/1','Kamis','08:00 - 09:00','B014RRB2'),</t>
  </si>
  <si>
    <t>SVB1566</t>
  </si>
  <si>
    <t>('SVB1566','K/1','Kamis','08:00 - 09:40','B032KLIN'),</t>
  </si>
  <si>
    <t>SVB1563</t>
  </si>
  <si>
    <t>('SVB1563','K/1','Kamis','08:00 - 10:00','B000MOES-B'),</t>
  </si>
  <si>
    <t>SVB1541</t>
  </si>
  <si>
    <t>('SVB1541','K/1','Kamis','09:00 - 09:50','B013TRPD3'),</t>
  </si>
  <si>
    <t>SVB1521</t>
  </si>
  <si>
    <t>B072RPPT</t>
  </si>
  <si>
    <t>('SVB1521','K/1','Kamis','09:00 - 10:40','B072RPPT'),</t>
  </si>
  <si>
    <t>SVB1554</t>
  </si>
  <si>
    <t>('SVB1554','K/1','Kamis','09:00 - 11:00','B051LFIF3'),</t>
  </si>
  <si>
    <t>SVB1535</t>
  </si>
  <si>
    <t>('SVB1535','K/1','Kamis','10:00 - 11:40','B032KLIN'),</t>
  </si>
  <si>
    <t>B000RURR</t>
  </si>
  <si>
    <t>('SVB1541','P/1','Kamis','10:00 - 12:30','B000RURR'),</t>
  </si>
  <si>
    <t>('SVB1566','P/1','Kamis','10:00 - 12:30','B0220803'),</t>
  </si>
  <si>
    <t>('SVB1521','P/1','Kamis','11:00 - 14:30','B000FKHA'),</t>
  </si>
  <si>
    <t>('SVB1554','P/1','Kamis','13:00 - 15:30','B062KESM'),</t>
  </si>
  <si>
    <t>('SVB156C','P/1','Kamis','13:00 - 15:30','B051HLAB'),</t>
  </si>
  <si>
    <t>('SVB1563','P/1','Kamis','13:30 - 15:30','B0DIPDLM'),</t>
  </si>
  <si>
    <t>SVB1534</t>
  </si>
  <si>
    <t>('SVB1534','K/1','Kamis','14:00 - 15:40','B083ANAT'),</t>
  </si>
  <si>
    <t>SVB154G</t>
  </si>
  <si>
    <t>B000MEDI</t>
  </si>
  <si>
    <t>('SVB154G','K/1','Jumat','08:00 - 08:50','B000MEDI'),</t>
  </si>
  <si>
    <t>SVB1503</t>
  </si>
  <si>
    <t>('SVB1503','K/1','Jumat','08:00 - 09:40','B000FKB2'),</t>
  </si>
  <si>
    <t>SVB1628</t>
  </si>
  <si>
    <t>('SVB1628','K/1','Jumat','08:00 - 09:40','B014RRB2'),</t>
  </si>
  <si>
    <t>SVB151A</t>
  </si>
  <si>
    <t>('SVB151A','K/1','Jumat','09:00 - 10:40','B013TRPD2'),</t>
  </si>
  <si>
    <t>('SVB154G','P/1','Jumat','09:00 - 11:00','B000FKB2'),</t>
  </si>
  <si>
    <t>SVB1568</t>
  </si>
  <si>
    <t>('SVB1568','K/1','Jumat','09:00 - 11:00','B00PROTO'),</t>
  </si>
  <si>
    <t>SVB1502</t>
  </si>
  <si>
    <t>B0XCYBER</t>
  </si>
  <si>
    <t>('SVB1502','K/1','Jumat','10:00 - 10:40','B0XCYBER'),</t>
  </si>
  <si>
    <t>SVB154E</t>
  </si>
  <si>
    <t>('SVB154E','K/1','Jumat','13:00 - 13:50','B051HLAB'),</t>
  </si>
  <si>
    <t>B000MOES</t>
  </si>
  <si>
    <t>('SVB1568','P/1','Jumat','13:00 - 15:30','B000MOES'),</t>
  </si>
  <si>
    <t>SVB1501</t>
  </si>
  <si>
    <t>('SVB1501','K/1','Jumat','13:15 - 15:00','LAB-CYBER2'),</t>
  </si>
  <si>
    <t>('SVB1628','P/1','Jumat','13:30 - 15:30','B013TRPD2'),</t>
  </si>
  <si>
    <t>B0PARAST</t>
  </si>
  <si>
    <t>('SVB154E','P/1','Jumat','14:00 - 16:30','B0PARAST'),</t>
  </si>
  <si>
    <t>('SVB1501','P/1','Jumat','15:10 - 17:40','B001FARM'),</t>
  </si>
  <si>
    <t>SVB1546</t>
  </si>
  <si>
    <t>('SVB1546','P/1','Sabtu','08:00 - 10:30','B063PKIT'),</t>
  </si>
  <si>
    <t>AKU1651</t>
  </si>
  <si>
    <t>C0014</t>
  </si>
  <si>
    <t>('AKU1651','K/2','Senin','08:00 - 09:40','C0014'),</t>
  </si>
  <si>
    <t>AKU1621</t>
  </si>
  <si>
    <t>C0007</t>
  </si>
  <si>
    <t>('AKU1621','K/1','Senin','10:00 - 11:40','C0007'),</t>
  </si>
  <si>
    <t>AKU1641</t>
  </si>
  <si>
    <t>C0002</t>
  </si>
  <si>
    <t>('AKU1641','K/1','Senin','13:00 - 14:40','C0002'),</t>
  </si>
  <si>
    <t>AKU1623</t>
  </si>
  <si>
    <t>C0012</t>
  </si>
  <si>
    <t>('AKU1623','K/1','Senin','15:00 - 16:40','C0012'),</t>
  </si>
  <si>
    <t>AKU1522</t>
  </si>
  <si>
    <t>LABIPBCC1</t>
  </si>
  <si>
    <t>('AKU1522','K/1','Selasa','08:00 - 09:40','LABIPBCC1'),</t>
  </si>
  <si>
    <t>AKU1691</t>
  </si>
  <si>
    <t>C123RBEN</t>
  </si>
  <si>
    <t>('AKU1691','K/1','Selasa','09:00 - 10:00','C123RBEN'),</t>
  </si>
  <si>
    <t>AKU1642</t>
  </si>
  <si>
    <t>('AKU1642','K/1','Selasa','10:00 - 11:40','C0002'),</t>
  </si>
  <si>
    <t>AKU1501</t>
  </si>
  <si>
    <t>C162RP23</t>
  </si>
  <si>
    <t>('AKU1501','K/1','Selasa','13:00 - 14:40','C162RP23'),</t>
  </si>
  <si>
    <t>('AKU1501','K/2','Selasa','13:00 - 14:41','C162RP23'),</t>
  </si>
  <si>
    <t>162RP22</t>
  </si>
  <si>
    <t>('AKU1501','P/1','Selasa','15:00 - 18:00','162RP22'),</t>
  </si>
  <si>
    <t>C0013</t>
  </si>
  <si>
    <t>('AKU1501','P/2','Selasa','15:00 - 18:00','C0013'),</t>
  </si>
  <si>
    <t>C132RGAM</t>
  </si>
  <si>
    <t>('AKU1623','P/1','Rabu','13:00 - 16:00','C132RGAM'),</t>
  </si>
  <si>
    <t>AKU1622</t>
  </si>
  <si>
    <t>C1110104</t>
  </si>
  <si>
    <t>('AKU1622','K/1','Rabu','16:05 - 17:45','C1110104'),</t>
  </si>
  <si>
    <t>AKU1611</t>
  </si>
  <si>
    <t>('AKU1611','K/1','Kamis','08:00 - 09:40','C0002'),</t>
  </si>
  <si>
    <t>('AKU1691','K/2','Kamis','09:00 - 10:00','C123RBEN'),</t>
  </si>
  <si>
    <t>AKU1612</t>
  </si>
  <si>
    <t>('AKU1612','K/1','Kamis','10:00 - 11:40','C0002'),</t>
  </si>
  <si>
    <t>AKU1632</t>
  </si>
  <si>
    <t>C162RP21</t>
  </si>
  <si>
    <t>('AKU1632','K/1','Kamis','13:00 - 14:40','C162RP21'),</t>
  </si>
  <si>
    <t>C0005</t>
  </si>
  <si>
    <t>('AKU1642','P/1','Kamis','15:00 - 18:00','C0005'),</t>
  </si>
  <si>
    <t>('AKU1622','P/2','Jumat','07:00 - 10:00','162RP22'),</t>
  </si>
  <si>
    <t>AKU1631</t>
  </si>
  <si>
    <t>C162RP25</t>
  </si>
  <si>
    <t>('AKU1631','K/1','Jumat','10:00 - 11:40','C162RP25'),</t>
  </si>
  <si>
    <t>AKU1652</t>
  </si>
  <si>
    <t>('AKU1652','K/1','Jumat','13:00 - 14:40','C0007'),</t>
  </si>
  <si>
    <t>('AKU1632','P/1','Jumat','15:00 - 18:00','C0007'),</t>
  </si>
  <si>
    <t>SDP1526</t>
  </si>
  <si>
    <t>C0003</t>
  </si>
  <si>
    <t>('SDP1526','K/1','Senin','07:00 - 07:50','C0003'),</t>
  </si>
  <si>
    <t>SDP1524</t>
  </si>
  <si>
    <t>('SDP1524','K/1','Senin','09:00 - 09:50','C0003'),</t>
  </si>
  <si>
    <t>SDP1523</t>
  </si>
  <si>
    <t>C0004</t>
  </si>
  <si>
    <t>('SDP1523','K/1','Senin','10:00 - 10:50','C0004'),</t>
  </si>
  <si>
    <t>SDP1521</t>
  </si>
  <si>
    <t>('SDP1521','K/1','Senin','10:00 - 11:40','C0003'),</t>
  </si>
  <si>
    <t>SDP1623</t>
  </si>
  <si>
    <t>('SDP1623','K/1','Senin','13:00 - 13:50','C0005'),</t>
  </si>
  <si>
    <t>SDP1502</t>
  </si>
  <si>
    <t>('SDP1502','K/1','Senin','13:00 - 14:40','C0003'),</t>
  </si>
  <si>
    <t>('SDP1523','P/1','Senin','14:50 - 17:50','C0003'),</t>
  </si>
  <si>
    <t>SDP1501</t>
  </si>
  <si>
    <t>('SDP1501','K/1','Senin','15:00 - 16:40','C0004'),</t>
  </si>
  <si>
    <t>SDP1512</t>
  </si>
  <si>
    <t>('SDP1512','K/1','Senin','16:00 - 16:50','C0007'),</t>
  </si>
  <si>
    <t>SDP1525</t>
  </si>
  <si>
    <t>('SDP1525','K/1','Selasa','09:00 - 09:50','C0003'),</t>
  </si>
  <si>
    <t>SDP1636</t>
  </si>
  <si>
    <t>('SDP1636','K/1','Selasa','10:00 - 10:50','C0003'),</t>
  </si>
  <si>
    <t>SDP1615</t>
  </si>
  <si>
    <t>LABIPBCC</t>
  </si>
  <si>
    <t>('SDP1615','K/1','Selasa','13:00 - 13:50','LABIPBCC'),</t>
  </si>
  <si>
    <t>SDP1621</t>
  </si>
  <si>
    <t>C162RP24</t>
  </si>
  <si>
    <t>('SDP1621','K/1','Selasa','13:00 - 13:50','C162RP24'),</t>
  </si>
  <si>
    <t>SDP1522</t>
  </si>
  <si>
    <t>('SDP1522','K/1','Selasa','13:00 - 14:40','C0003'),</t>
  </si>
  <si>
    <t>('SDP1526','P/1','Selasa','13:00 - 16:00','C0007'),</t>
  </si>
  <si>
    <t>L0007</t>
  </si>
  <si>
    <t>('SDP1502','P/1','Selasa','15:00 - 18:00','L0007'),</t>
  </si>
  <si>
    <t>('SDP1522','P/1','Selasa','15:00 - 18:00','C0003'),</t>
  </si>
  <si>
    <t>('SDP1623','P/1','Selasa','15:00 - 18:00','C0005'),</t>
  </si>
  <si>
    <t>SDP1513</t>
  </si>
  <si>
    <t>('SDP1513','K/1','Rabu','08:00 - 08:50','C0003'),</t>
  </si>
  <si>
    <t>SDP1622</t>
  </si>
  <si>
    <t>C1110101</t>
  </si>
  <si>
    <t>('SDP1622','K/1','Rabu','08:00 - 08:50','C1110101'),</t>
  </si>
  <si>
    <t>SDP1628</t>
  </si>
  <si>
    <t>('SDP1628','K/1','Rabu','13:00 - 14:40','C0007'),</t>
  </si>
  <si>
    <t>SDP1631</t>
  </si>
  <si>
    <t>('SDP1631','K/1','Rabu','15:00 - 15:50','C0007'),</t>
  </si>
  <si>
    <t>('SDP1524','P/1','Rabu','15:00 - 18:00','C0005'),</t>
  </si>
  <si>
    <t>('SDP1525','P/1','Rabu','15:00 - 18:00','C0004'),</t>
  </si>
  <si>
    <t>('SDP1621','P/1','Rabu','15:00 - 18:00','C162RP25'),</t>
  </si>
  <si>
    <t>SDP1527</t>
  </si>
  <si>
    <t>('SDP1527','K/1','Kamis','07:00 - 07:50','C0007'),</t>
  </si>
  <si>
    <t>SDP1503</t>
  </si>
  <si>
    <t>('SDP1503','K/1','Kamis','07:00 - 08:40','C0003'),</t>
  </si>
  <si>
    <t>SDP1633</t>
  </si>
  <si>
    <t>('SDP1633','K/1','Kamis','09:00 - 09:50','C0003'),</t>
  </si>
  <si>
    <t>C0011</t>
  </si>
  <si>
    <t>('SDP1521','P/1','Kamis','09:00 - 12:00','C0011'),</t>
  </si>
  <si>
    <t>('SDP1527','P/1','Kamis','09:00 - 12:00','C0007'),</t>
  </si>
  <si>
    <t>('SDP1636','P/1','Kamis','09:00 - 12:00','C0004'),</t>
  </si>
  <si>
    <t>SDP1514</t>
  </si>
  <si>
    <t>('SDP1514','K/1','Kamis','10:00 - 10:50','C0013'),</t>
  </si>
  <si>
    <t>('SDP1503','P/1','Kamis','13:00 - 16:00','C0003'),</t>
  </si>
  <si>
    <t>('SDP1631','P/1','Kamis','13:00 - 16:00','C0011'),</t>
  </si>
  <si>
    <t>C002RKB1</t>
  </si>
  <si>
    <t>('SDP1512','P/1','Kamis','14:00 - 17:00','C002RKB1'),</t>
  </si>
  <si>
    <t>SDP1611</t>
  </si>
  <si>
    <t>('SDP1611','K/1','Kamis','15:00 - 15:50','C0005'),</t>
  </si>
  <si>
    <t>C001RKB2</t>
  </si>
  <si>
    <t>('SDP1633','P/1','Kamis','15:00 - 18:00','C001RKB2'),</t>
  </si>
  <si>
    <t>('SDP1514','P/1','Jumat','07:00 - 10:00','C0004'),</t>
  </si>
  <si>
    <t>('SDP1501','P/1','Jumat','08:00 - 11:00','C0003'),</t>
  </si>
  <si>
    <t>C0010</t>
  </si>
  <si>
    <t>('SDP1615','P/1','Jumat','13:00 - 16:00','C0010'),</t>
  </si>
  <si>
    <t>('SDP1622','P/1','Jumat','14:00 - 17:00','C0004'),</t>
  </si>
  <si>
    <t>('SDP1513','P/1','Jumat','15:00 - 18:00','C0005'),</t>
  </si>
  <si>
    <t>('SDP1611','P/1','Jumat','15:00 - 18:00','L0007'),</t>
  </si>
  <si>
    <t>SPL1613</t>
  </si>
  <si>
    <t>('SPL1613','K/1','Senin','07:00 - 07:50','L0007'),</t>
  </si>
  <si>
    <t>SPL1637</t>
  </si>
  <si>
    <t>('SPL1637','K/1','Senin','08:00 - 09:40','L0007'),</t>
  </si>
  <si>
    <t>SPL1621</t>
  </si>
  <si>
    <t>('SPL1621','K/1','Senin','10:00 - 11:40','C0007'),</t>
  </si>
  <si>
    <t>SPL1638</t>
  </si>
  <si>
    <t>('SPL1638','K/1','Senin','10:00 - 11:40','L0007'),</t>
  </si>
  <si>
    <t>SPL1624</t>
  </si>
  <si>
    <t>('SPL1624','K/1','Senin','13:00 - 14:40','L0007'),</t>
  </si>
  <si>
    <t>SPL1611</t>
  </si>
  <si>
    <t>('SPL1611','K/1','Senin','15:00 - 15:50','L0007'),</t>
  </si>
  <si>
    <t>SPL1501</t>
  </si>
  <si>
    <t>C0006</t>
  </si>
  <si>
    <t>('SPL1501','K/1','Senin','15:00 - 16:40','C0006'),</t>
  </si>
  <si>
    <t>SPL1612</t>
  </si>
  <si>
    <t>('SPL1612','K/1','Selasa','07:00 - 08:40','C0007'),</t>
  </si>
  <si>
    <t>SPL1639</t>
  </si>
  <si>
    <t>('SPL1639','K/1','Selasa','08:00 - 08:50','L0007'),</t>
  </si>
  <si>
    <t>SPL1636</t>
  </si>
  <si>
    <t>('SPL1636','K/1','Selasa','09:00 - 10:40','L0007'),</t>
  </si>
  <si>
    <t>SPL1631</t>
  </si>
  <si>
    <t>('SPL1631','K/1','Selasa','13:00 - 14:40','L0007'),</t>
  </si>
  <si>
    <t>STA1512</t>
  </si>
  <si>
    <t>PPS-R404</t>
  </si>
  <si>
    <t>('STA1512','K/4','Rabu','07:30 - 09:30','PPS-R404'),</t>
  </si>
  <si>
    <t>SPL163A</t>
  </si>
  <si>
    <t>('SPL163A','K/1','Rabu','13:00 - 14:40','C0003'),</t>
  </si>
  <si>
    <t>('STA1512','P/4','Rabu','13:00 - 15:00','PPS-R404'),</t>
  </si>
  <si>
    <t>('SPL1639','P/1','Rabu','15:00 - 18:00','L0007'),</t>
  </si>
  <si>
    <t>SPL1632</t>
  </si>
  <si>
    <t>('SPL1632','K/1','Kamis','07:00 - 08:40','C0006'),</t>
  </si>
  <si>
    <t>SPL1614</t>
  </si>
  <si>
    <t>('SPL1614','K/1','Kamis','09:00 - 10:40','L0007'),</t>
  </si>
  <si>
    <t>('SPL1632','P/1','Kamis','09:00 - 12:00','C0012'),</t>
  </si>
  <si>
    <t>SPL1634</t>
  </si>
  <si>
    <t>('SPL1634','K/1','Kamis','13:00 - 14:40','C132RGAM'),</t>
  </si>
  <si>
    <t>SPL1635</t>
  </si>
  <si>
    <t>('SPL1635','K/1','Kamis','13:00 - 14:40','L0007'),</t>
  </si>
  <si>
    <t>('SPL1611','P/1','Kamis','13:00 - 16:00','C0007'),</t>
  </si>
  <si>
    <t>SPL1622</t>
  </si>
  <si>
    <t>('SPL1622','K/1','Kamis','15:00 - 16:40','L0007'),</t>
  </si>
  <si>
    <t>('SPL1613','P/1','Jumat','07:00 - 10:00','L0007'),</t>
  </si>
  <si>
    <t>('SPL1501','P/1','Jumat','08:00 - 11:00','C0007'),</t>
  </si>
  <si>
    <t>SPL1623</t>
  </si>
  <si>
    <t>('SPL1623','K/1','Jumat','13:30 - 14:20','C0011'),</t>
  </si>
  <si>
    <t>SPL1511</t>
  </si>
  <si>
    <t>('SPL1511','K/1','Jumat','13:30 - 15:10','C0013'),</t>
  </si>
  <si>
    <t>SPL1601</t>
  </si>
  <si>
    <t>C002RKA1</t>
  </si>
  <si>
    <t>('SPL1601','K/1','Jumat','15:00 - 16:40','C002RKA1'),</t>
  </si>
  <si>
    <t>('SPL1623','P/1','Jumat','15:00 - 18:00','C0007'),</t>
  </si>
  <si>
    <t>THP1601</t>
  </si>
  <si>
    <t>('THP1601','K/1','Senin','08:00 - 09:40','C0011'),</t>
  </si>
  <si>
    <t>('THP1601','P/1','Senin','10:00 - 13:00','C0011'),</t>
  </si>
  <si>
    <t>THP1535</t>
  </si>
  <si>
    <t>('THP1535','K/1','Senin','13:00 - 14:40','C0011'),</t>
  </si>
  <si>
    <t>THP1616</t>
  </si>
  <si>
    <t>('THP1616','K/1','Senin','13:00 - 14:40','162RP22'),</t>
  </si>
  <si>
    <t>THP1622</t>
  </si>
  <si>
    <t>('THP1622','K/1','Senin','13:00 - 14:40','C0003'),</t>
  </si>
  <si>
    <t>('THP1535','P/1','Senin','15:00 - 18:00','C0011'),</t>
  </si>
  <si>
    <t>C022RKC3</t>
  </si>
  <si>
    <t>('THP1616','P/1','Senin','15:00 - 18:00','C022RKC3'),</t>
  </si>
  <si>
    <t>('THP1622','P/1','Senin','15:00 - 18:00','C0010'),</t>
  </si>
  <si>
    <t>THP1528</t>
  </si>
  <si>
    <t>('THP1528','K/1','Selasa','08:00 - 09:40','C0011'),</t>
  </si>
  <si>
    <t>THP1512</t>
  </si>
  <si>
    <t>('THP1512','K/1','Selasa','10:00 - 11:40','C0011'),</t>
  </si>
  <si>
    <t>THP151A</t>
  </si>
  <si>
    <t>C012RKC2</t>
  </si>
  <si>
    <t>('THP151A','K/1','Selasa','10:00 - 11:40','C012RKC2'),</t>
  </si>
  <si>
    <t>THP1525</t>
  </si>
  <si>
    <t>('THP1525','K/1','Selasa','10:00 - 11:40','C0012'),</t>
  </si>
  <si>
    <t>THP1624</t>
  </si>
  <si>
    <t>('THP1624','K/1','Selasa','13:00 - 14:40','C0011'),</t>
  </si>
  <si>
    <t>('THP1512','P/1','Selasa','15:00 - 18:00','C0006'),</t>
  </si>
  <si>
    <t>LABMSP01</t>
  </si>
  <si>
    <t>('THP1525','P/1','Selasa','15:00 - 18:00','LABMSP01'),</t>
  </si>
  <si>
    <t>C022RKC4</t>
  </si>
  <si>
    <t>('THP1624','P/1','Selasa','15:00 - 18:00','C022RKC4'),</t>
  </si>
  <si>
    <t>THP1502</t>
  </si>
  <si>
    <t>('THP1502','K/1','Rabu','08:00 - 09:40','C0011'),</t>
  </si>
  <si>
    <t>THP169B</t>
  </si>
  <si>
    <t>('THP169B','P/1','Rabu','08:00 - 14:00','C022RKC3'),</t>
  </si>
  <si>
    <t>THP1639</t>
  </si>
  <si>
    <t>('THP1639','K/1','Rabu','13:00 - 14:40','LABIPBCC1'),</t>
  </si>
  <si>
    <t>C0009</t>
  </si>
  <si>
    <t>('THP1502','P/1','Rabu','15:00 - 18:00','C0009'),</t>
  </si>
  <si>
    <t>THP1514</t>
  </si>
  <si>
    <t>('THP1514','K/1','Kamis','08:00 - 09:40','LABIPBCC1'),</t>
  </si>
  <si>
    <t>THP1533</t>
  </si>
  <si>
    <t>('THP1533','K/1','Kamis','08:00 - 09:40','LABIPBCC1'),</t>
  </si>
  <si>
    <t>THP1623</t>
  </si>
  <si>
    <t>('THP1623','K/1','Kamis','08:00 - 09:40','C0011'),</t>
  </si>
  <si>
    <t>THP1634</t>
  </si>
  <si>
    <t>('THP1634','K/1','Kamis','10:00 - 11:40','C001RKB2'),</t>
  </si>
  <si>
    <t>('THP1623','P/1','Kamis','10:00 - 13:00','LABIPBCC1'),</t>
  </si>
  <si>
    <t>C1110102</t>
  </si>
  <si>
    <t>('THP1514','P/1','Kamis','13:00 - 16:00','C1110102'),</t>
  </si>
  <si>
    <t>('THP1533','P/1','Kamis','13:00 - 16:00','C1110104'),</t>
  </si>
  <si>
    <t>('THP1634','P/1','Kamis','15:00 - 18:00','C123RBEN'),</t>
  </si>
  <si>
    <t>THP1536</t>
  </si>
  <si>
    <t>('THP1536','K/1','Jumat','08:00 - 09:40','C132RGAM'),</t>
  </si>
  <si>
    <t>THP1615</t>
  </si>
  <si>
    <t>('THP1615','K/1','Jumat','08:00 - 09:40','C0011'),</t>
  </si>
  <si>
    <t>THP1531</t>
  </si>
  <si>
    <t>('THP1531','K/1','Jumat','10:00 - 11:40','C0011'),</t>
  </si>
  <si>
    <t>('THP1536','P/1','Jumat','13:00 - 16:00','162RP22'),</t>
  </si>
  <si>
    <t>('THP1615','P/1','Jumat','13:00 - 16:00','C0004'),</t>
  </si>
  <si>
    <t>('THP1531','P/1','Jumat','16:00 - 19:00','C002RKA1'),</t>
  </si>
  <si>
    <t>TPL1522</t>
  </si>
  <si>
    <t>C0015</t>
  </si>
  <si>
    <t>('TPL1522','K/1','Senin','08:00 - 09:40','C0015'),</t>
  </si>
  <si>
    <t>TPL1533</t>
  </si>
  <si>
    <t>F-B2042</t>
  </si>
  <si>
    <t>('TPL1533','K/1','Senin','08:00 - 09:40','F-B2042'),</t>
  </si>
  <si>
    <t>TPL1512</t>
  </si>
  <si>
    <t>('TPL1512','K/1','Senin','09:00 - 10:40','C0010'),</t>
  </si>
  <si>
    <t>TPL1523</t>
  </si>
  <si>
    <t>('TPL1523','K/1','Senin','13:00 - 14:40','C0014'),</t>
  </si>
  <si>
    <t>TPL1536</t>
  </si>
  <si>
    <t>('TPL1536','K/1','Senin','16:00 - 17:40','C132RGAM'),</t>
  </si>
  <si>
    <t>('TPL1522','P/1','Selasa','08:00 - 11:00','C0015'),</t>
  </si>
  <si>
    <t>L0009</t>
  </si>
  <si>
    <t>('TPL1512','P/1','Selasa','13:00 - 15:00','L0009'),</t>
  </si>
  <si>
    <t>('TPL1536','P/1','Selasa','16:00 - 19:00','C022RKC4'),</t>
  </si>
  <si>
    <t>TPL1521</t>
  </si>
  <si>
    <t>('TPL1521','K/1','Rabu','08:00 - 09:40','C0014'),</t>
  </si>
  <si>
    <t>TPL1531</t>
  </si>
  <si>
    <t>('TPL1531','K/1','Rabu','08:00 - 09:40','C0015'),</t>
  </si>
  <si>
    <t>TPL1542</t>
  </si>
  <si>
    <t>('TPL1542','K/1','Rabu','08:00 - 09:40','L0009'),</t>
  </si>
  <si>
    <t>TPL1614</t>
  </si>
  <si>
    <t>('TPL1614','K/1','Rabu','08:00 - 09:40','F-B2042'),</t>
  </si>
  <si>
    <t>TPL1553</t>
  </si>
  <si>
    <t>('TPL1553','K/1','Rabu','13:00 - 14:40','L0009'),</t>
  </si>
  <si>
    <t>('TPL1523','P/1','Rabu','13:00 - 16:00','C0014'),</t>
  </si>
  <si>
    <t>TPL1532</t>
  </si>
  <si>
    <t>('TPL1532','K/1','Rabu','19:00 - 20:40','C0003'),</t>
  </si>
  <si>
    <t>('TPL1542','P/1','Kamis','07:30 - 10:30','C0014'),</t>
  </si>
  <si>
    <t>TPL1552</t>
  </si>
  <si>
    <t>('TPL1552','K/1','Kamis','08:00 - 09:40','L0009'),</t>
  </si>
  <si>
    <t>('TPL1531','P/1','Kamis','08:00 - 11:00','C0015'),</t>
  </si>
  <si>
    <t>('TPL1614','P/1','Kamis','08:00 - 11:00','F-B2042'),</t>
  </si>
  <si>
    <t>TPL1647</t>
  </si>
  <si>
    <t>('TPL1647','K/1','Kamis','10:40 - 12:20','C0014'),</t>
  </si>
  <si>
    <t>TPL1545</t>
  </si>
  <si>
    <t>('TPL1545','K/1','Kamis','13:00 - 14:40','L0009'),</t>
  </si>
  <si>
    <t>('TPL1521','P/1','Kamis','13:00 - 16:00','C0014'),</t>
  </si>
  <si>
    <t>('TPL1532','P/1','Kamis','16:00 - 19:00','C0015'),</t>
  </si>
  <si>
    <t>TPL1543</t>
  </si>
  <si>
    <t>('TPL1543','K/1','Jumat','08:00 - 09:40','C0014'),</t>
  </si>
  <si>
    <t>('TPL1553','P/1','Jumat','08:00 - 11:00','L0009'),</t>
  </si>
  <si>
    <t>TPL1637</t>
  </si>
  <si>
    <t>('TPL1637','K/1','Jumat','14:00 - 15:40','L0009'),</t>
  </si>
  <si>
    <t>('TPL1552','P/1','Jumat','14:00 - 17:00','C0015'),</t>
  </si>
  <si>
    <t>('TPL1647','P/1','Jumat','19:00 - 21:00','C0014'),</t>
  </si>
  <si>
    <t>IKL1501</t>
  </si>
  <si>
    <t>('IKL1501','K/1','Senin','08:00 - 09:40','C001RKB2'),</t>
  </si>
  <si>
    <t>IKL1523</t>
  </si>
  <si>
    <t>('IKL1523','K/1','Senin','08:00 - 09:40','C0007'),</t>
  </si>
  <si>
    <t>IKL1526</t>
  </si>
  <si>
    <t>('IKL1526','K/1','Senin','10:00 - 11:40','C162RP21'),</t>
  </si>
  <si>
    <t>IKL1611</t>
  </si>
  <si>
    <t>('IKL1611','K/1','Senin','10:00 - 11:40','C162RP21'),</t>
  </si>
  <si>
    <t>IKL1621</t>
  </si>
  <si>
    <t>('IKL1621','K/1','Senin','10:00 - 11:40','C0005'),</t>
  </si>
  <si>
    <t>('IKL1526','P/1','Senin','13:00 - 15:00','C0010'),</t>
  </si>
  <si>
    <t>('IKL1611','P/1','Senin','13:00 - 15:00','C002RKB1'),</t>
  </si>
  <si>
    <t>('IKL1621','P/1','Senin','13:00 - 15:00','C0013'),</t>
  </si>
  <si>
    <t>IKL1625</t>
  </si>
  <si>
    <t>('IKL1625','K/1','Selasa','08:00 - 09:40','C0009'),</t>
  </si>
  <si>
    <t>IKL1515</t>
  </si>
  <si>
    <t>('IKL1515','K/1','Selasa','10:00 - 11:40','C0004'),</t>
  </si>
  <si>
    <t>IKL1626</t>
  </si>
  <si>
    <t>('IKL1626','K/1','Selasa','10:00 - 11:40','C0003'),</t>
  </si>
  <si>
    <t>('IKL1515','P/1','Selasa','13:00 - 15:00','C1110102'),</t>
  </si>
  <si>
    <t>('IKL1625','P/1','Selasa','13:00 - 15:00','C0004'),</t>
  </si>
  <si>
    <t>('IKL1626','P/1','Selasa','13:00 - 15:00','C0002'),</t>
  </si>
  <si>
    <t>IKL1624</t>
  </si>
  <si>
    <t>('IKL1624','K/1','Rabu','08:00 - 09:40','C0011'),</t>
  </si>
  <si>
    <t>IKL1612</t>
  </si>
  <si>
    <t>('IKL1612','K/1','Rabu','13:30 - 15:10','C162RP21'),</t>
  </si>
  <si>
    <t>IKL1627</t>
  </si>
  <si>
    <t>('IKL1627','K/1','Rabu','13:30 - 15:10','C162RP23'),</t>
  </si>
  <si>
    <t>('IKL1624','P/1','Rabu','15:00 - 17:00','C0015'),</t>
  </si>
  <si>
    <t>IKL1524</t>
  </si>
  <si>
    <t>('IKL1524','K/1','Kamis','08:00 - 09:40','C012RKC2'),</t>
  </si>
  <si>
    <t>IKL1514</t>
  </si>
  <si>
    <t>('IKL1514','K/1','Kamis','10:00 - 11:40','C022RKC3'),</t>
  </si>
  <si>
    <t>IKL1623</t>
  </si>
  <si>
    <t>('IKL1623','K/1','Kamis','10:00 - 11:40','C022RKC3'),</t>
  </si>
  <si>
    <t>('IKL1524','P/1','Kamis','10:00 - 12:00','C162RP24'),</t>
  </si>
  <si>
    <t>IKL1527</t>
  </si>
  <si>
    <t>('IKL1527','K/1','Kamis','13:00 - 14:40','C0012'),</t>
  </si>
  <si>
    <t>('IKL1514','P/1','Kamis','13:00 - 15:00','C0004'),</t>
  </si>
  <si>
    <t>('IKL1527','P/1','Kamis','15:00 - 17:00','C1110104'),</t>
  </si>
  <si>
    <t>IKL1622</t>
  </si>
  <si>
    <t>('IKL1622','K/1','Jumat','08:00 - 09:40','C162RP21'),</t>
  </si>
  <si>
    <t>('IKL1612','P/1','Jumat','08:00 - 10:00','C0009'),</t>
  </si>
  <si>
    <t>('IKL1627','P/1','Jumat','10:00 - 12:00','C1110102'),</t>
  </si>
  <si>
    <t>C0008</t>
  </si>
  <si>
    <t>('IKL1622','P/1','Jumat','13:30 - 15:30','C0008'),</t>
  </si>
  <si>
    <t>TEK1641</t>
  </si>
  <si>
    <t>('TEK1641','K/1','Senin','13:00 - 14:40','C0010'),</t>
  </si>
  <si>
    <t>TEK1634</t>
  </si>
  <si>
    <t>('TEK1634','K/1','Senin','15:00 - 16:25','C0009'),</t>
  </si>
  <si>
    <t>('TEK1641','P/1','Senin','15:00 - 17:00','C0010'),</t>
  </si>
  <si>
    <t>('TEK1634','P/1','Senin','16:30 - 17:30','C0009'),</t>
  </si>
  <si>
    <t>TEK1541</t>
  </si>
  <si>
    <t>('TEK1541','K/1','Selasa','08:00 - 09:40','C0010'),</t>
  </si>
  <si>
    <t>TEK1635</t>
  </si>
  <si>
    <t>('TEK1635','K/1','Selasa','08:00 - 09:40','C0012'),</t>
  </si>
  <si>
    <t>('TEK1541','P/1','Selasa','10:00 - 12:00','C0008'),</t>
  </si>
  <si>
    <t>('TEK1635','P/1','Selasa','11:00 - 12:00','C0012'),</t>
  </si>
  <si>
    <t>TEK1506</t>
  </si>
  <si>
    <t>('TEK1506','K/1','Rabu','08:30 - 10:10','C0012'),</t>
  </si>
  <si>
    <t>TEK1531</t>
  </si>
  <si>
    <t>('TEK1531','K/1','Rabu','13:30 - 15:10','C0010'),</t>
  </si>
  <si>
    <t>('TEK1531','P/1','Rabu','15:30 - 17:30','C0010'),</t>
  </si>
  <si>
    <t>TEK1647</t>
  </si>
  <si>
    <t>('TEK1647','K/1','Kamis','08:00 - 09:40','C0012'),</t>
  </si>
  <si>
    <t>('TEK1647','P/1','Kamis','10:00 - 12:00','C0013'),</t>
  </si>
  <si>
    <t>TEK1642</t>
  </si>
  <si>
    <t>('TEK1642','K/1','Kamis','13:00 - 14:40','C0013'),</t>
  </si>
  <si>
    <t>('TEK1642','P/1','Kamis','15:00 - 17:00','C0013'),</t>
  </si>
  <si>
    <t>TEK1632</t>
  </si>
  <si>
    <t>('TEK1632','K/1','Jumat','08:00 - 09:40','C0009'),</t>
  </si>
  <si>
    <t>('TEK1632','P/1','Jumat','10:00 - 12:00','C0009'),</t>
  </si>
  <si>
    <t>ITP1512</t>
  </si>
  <si>
    <t>D-LAB006</t>
  </si>
  <si>
    <t>('ITP1512','K/1','Selasa','08:00 - 09:40','D-LAB006'),</t>
  </si>
  <si>
    <t>ITP1521</t>
  </si>
  <si>
    <t>D11002401</t>
  </si>
  <si>
    <t>('ITP1521','K/1','Selasa','08:00 - 09:40','D11002401'),</t>
  </si>
  <si>
    <t>ITP1532</t>
  </si>
  <si>
    <t>D-SEM001</t>
  </si>
  <si>
    <t>('ITP1532','K/1','Selasa','08:00 - 09:40','D-SEM001'),</t>
  </si>
  <si>
    <t>ITP1534</t>
  </si>
  <si>
    <t>D101C7C8</t>
  </si>
  <si>
    <t>('ITP1534','K/1','Selasa','08:00 - 09:40','D101C7C8'),</t>
  </si>
  <si>
    <t>ITP1542</t>
  </si>
  <si>
    <t>D-LAB014</t>
  </si>
  <si>
    <t>('ITP1542','K/1','Selasa','08:00 - 09:40','D-LAB014'),</t>
  </si>
  <si>
    <t>ITP1652</t>
  </si>
  <si>
    <t>D-LAB004</t>
  </si>
  <si>
    <t>('ITP1652','K/1','Selasa','08:00 - 09:40','D-LAB004'),</t>
  </si>
  <si>
    <t>ITP1653</t>
  </si>
  <si>
    <t>D-LAB003</t>
  </si>
  <si>
    <t>('ITP1653','K/1','Selasa','10:00 - 11:40','D-LAB003'),</t>
  </si>
  <si>
    <t>D-LAB013</t>
  </si>
  <si>
    <t>('ITP1512','P/1','Selasa','10:00 - 12:30','D-LAB013'),</t>
  </si>
  <si>
    <t>ITP1543</t>
  </si>
  <si>
    <t>('ITP1543','P/1','Selasa','10:00 - 12:30','D-LAB013'),</t>
  </si>
  <si>
    <t>D000GENE</t>
  </si>
  <si>
    <t>('ITP1652','P/1','Selasa','10:00 - 12:30','D000GENE'),</t>
  </si>
  <si>
    <t>D002RB03</t>
  </si>
  <si>
    <t>('ITP1534','P/1','Selasa','13:00 - 16:00','D002RB03'),</t>
  </si>
  <si>
    <t>D-LAB002</t>
  </si>
  <si>
    <t>('ITP1653','P/1','Selasa','13:30 - 16:00','D-LAB002'),</t>
  </si>
  <si>
    <t>ITP1533</t>
  </si>
  <si>
    <t>('ITP1533','K/1','Rabu','08:00 - 09:40','D000GENE'),</t>
  </si>
  <si>
    <t>D-LAB017</t>
  </si>
  <si>
    <t>('ITP1543','K/1','Rabu','08:00 - 09:40','D-LAB017'),</t>
  </si>
  <si>
    <t>ITP1613</t>
  </si>
  <si>
    <t>D-LAB005</t>
  </si>
  <si>
    <t>('ITP1613','K/1','Rabu','08:00 - 09:40','D-LAB005'),</t>
  </si>
  <si>
    <t>ITP1622</t>
  </si>
  <si>
    <t>D091RC04</t>
  </si>
  <si>
    <t>('ITP1622','K/1','Rabu','08:00 - 09:40','D091RC04'),</t>
  </si>
  <si>
    <t>ITP1625</t>
  </si>
  <si>
    <t>D-LAB009</t>
  </si>
  <si>
    <t>('ITP1625','K/1','Rabu','08:00 - 09:40','D-LAB009'),</t>
  </si>
  <si>
    <t>D-LAB010</t>
  </si>
  <si>
    <t>('ITP1533','P/1','Rabu','13:00 - 15:30','D-LAB010'),</t>
  </si>
  <si>
    <t>D101C5C6</t>
  </si>
  <si>
    <t>('ITP1542','P/1','Rabu','13:00 - 15:30','D101C5C6'),</t>
  </si>
  <si>
    <t>('ITP1613','P/1','Rabu','13:00 - 15:30','D-LAB009'),</t>
  </si>
  <si>
    <t>D062CBCC</t>
  </si>
  <si>
    <t>('ITP1622','P/1','Rabu','13:00 - 16:00','D062CBCC'),</t>
  </si>
  <si>
    <t>ITP1514</t>
  </si>
  <si>
    <t>('ITP1514','K/1','Kamis','08:00 - 09:40','D-LAB010'),</t>
  </si>
  <si>
    <t>ITP1523</t>
  </si>
  <si>
    <t>('ITP1523','K/1','Kamis','08:00 - 09:40','D-LAB014'),</t>
  </si>
  <si>
    <t>ITP1544</t>
  </si>
  <si>
    <t>D-LAB016</t>
  </si>
  <si>
    <t>('ITP1544','K/1','Kamis','08:00 - 09:40','D-LAB016'),</t>
  </si>
  <si>
    <t>ITP1636</t>
  </si>
  <si>
    <t>D091C1C2</t>
  </si>
  <si>
    <t>('ITP1636','K/1','Kamis','08:00 - 09:40','D091C1C2'),</t>
  </si>
  <si>
    <t>('ITP1514','P/1','Kamis','10:00 - 12:30','D062CBCC'),</t>
  </si>
  <si>
    <t>('ITP1523','P/1','Kamis','10:00 - 12:30','D101C7C8'),</t>
  </si>
  <si>
    <t>D002RB01</t>
  </si>
  <si>
    <t>('ITP1544','P/1','Kamis','10:00 - 12:30','D002RB01'),</t>
  </si>
  <si>
    <t>D-LAB001</t>
  </si>
  <si>
    <t>('ITP1636','P/1','Kamis','14:00 - 16:30','D-LAB001'),</t>
  </si>
  <si>
    <t>ITP1524</t>
  </si>
  <si>
    <t>D002RB02</t>
  </si>
  <si>
    <t>('ITP1524','K/1','Jumat','08:00 - 09:40','D002RB02'),</t>
  </si>
  <si>
    <t>ITP1545</t>
  </si>
  <si>
    <t>('ITP1545','K/1','Jumat','08:00 - 09:40','D-LAB013'),</t>
  </si>
  <si>
    <t>ITP1555</t>
  </si>
  <si>
    <t>('ITP1555','K/1','Jumat','08:00 - 09:40','D-SEM001'),</t>
  </si>
  <si>
    <t>ITP1557</t>
  </si>
  <si>
    <t>('ITP1557','K/1','Jumat','08:00 - 09:40','D-SEM001'),</t>
  </si>
  <si>
    <t>('ITP1524','P/1','Jumat','14:00 - 16:30','D-LAB016'),</t>
  </si>
  <si>
    <t>('ITP1545','P/1','Jumat','14:00 - 16:30','D-LAB006'),</t>
  </si>
  <si>
    <t>('ITP1555','P/1','Jumat','14:00 - 16:30','D-LAB013'),</t>
  </si>
  <si>
    <t>D-LAB008</t>
  </si>
  <si>
    <t>('ITP1557','P/1','Jumat','14:00 - 16:30','D-LAB008'),</t>
  </si>
  <si>
    <t>ITP1654</t>
  </si>
  <si>
    <t>('ITP1654','K/1','Sabtu','08:00 - 09:40','D-LAB013'),</t>
  </si>
  <si>
    <t>('ITP1654','P/1','Sabtu','10:00 - 12:30','D101C7C8'),</t>
  </si>
  <si>
    <t>INP1622</t>
  </si>
  <si>
    <t>('INP1622','K/1','Senin','08:00 - 09:40','D002RB01'),</t>
  </si>
  <si>
    <t>INP1633</t>
  </si>
  <si>
    <t>D062C9CA</t>
  </si>
  <si>
    <t>('INP1633','K/1','Senin','08:00 - 09:40','D062C9CA'),</t>
  </si>
  <si>
    <t>INP1642</t>
  </si>
  <si>
    <t>('INP1642','K/1','Senin','10:30 - 12:10','D-LAB016'),</t>
  </si>
  <si>
    <t>('INP1622','P/1','Senin','13:00 - 16:00','D062C9CA'),</t>
  </si>
  <si>
    <t>('INP1633','P/1','Senin','13:00 - 16:00','D091RC04'),</t>
  </si>
  <si>
    <t>('INP1642','P/1','Senin','13:00 - 16:00','D-LAB010'),</t>
  </si>
  <si>
    <t>INP1592</t>
  </si>
  <si>
    <t>('INP1592','K/1','Selasa','11:00 - 12:40','D-LAB006'),</t>
  </si>
  <si>
    <t>D001RA01</t>
  </si>
  <si>
    <t>('INP1592','P/1','Selasa','13:00 - 16:00','D001RA01'),</t>
  </si>
  <si>
    <t>INP1612</t>
  </si>
  <si>
    <t>('INP1612','K/1','Rabu','08:00 - 09:40','D-LAB002'),</t>
  </si>
  <si>
    <t>INP1632</t>
  </si>
  <si>
    <t>('INP1632','K/1','Rabu','08:00 - 09:40','D-LAB014'),</t>
  </si>
  <si>
    <t>INP1652</t>
  </si>
  <si>
    <t>('INP1652','K/1','Rabu','08:00 - 09:40','D-LAB008'),</t>
  </si>
  <si>
    <t>INP1662</t>
  </si>
  <si>
    <t>('INP1662','K/1','Rabu','08:00 - 09:40','D062C9CA'),</t>
  </si>
  <si>
    <t>('INP1612','P/1','Rabu','13:00 - 16:00','D-SEM001'),</t>
  </si>
  <si>
    <t>D-LAB012</t>
  </si>
  <si>
    <t>('INP1632','P/1','Rabu','13:00 - 16:00','D-LAB012'),</t>
  </si>
  <si>
    <t>('INP1652','P/1','Rabu','13:00 - 16:00','D-LAB001'),</t>
  </si>
  <si>
    <t>INP1693</t>
  </si>
  <si>
    <t>('INP1693','K/1','Kamis','07:00 - 08:00','D002RB02'),</t>
  </si>
  <si>
    <t>INP1613</t>
  </si>
  <si>
    <t>('INP1613','K/1','Kamis','08:00 - 09:40','D-LAB014'),</t>
  </si>
  <si>
    <t>INP1623</t>
  </si>
  <si>
    <t>('INP1623','K/1','Kamis','08:00 - 09:40','D091RC04'),</t>
  </si>
  <si>
    <t>INP1663</t>
  </si>
  <si>
    <t>('INP1663','K/1','Kamis','08:00 - 09:40','D001RA01'),</t>
  </si>
  <si>
    <t>('INP1613','P/1','Kamis','13:00 - 16:00','D062C9CA'),</t>
  </si>
  <si>
    <t>('INP1623','P/1','Kamis','13:00 - 16:00','D-LAB001'),</t>
  </si>
  <si>
    <t>('INP1663','P/1','Kamis','13:00 - 16:00','D-LAB002'),</t>
  </si>
  <si>
    <t>INP1643</t>
  </si>
  <si>
    <t>('INP1643','K/1','Jumat','08:00 - 09:40','D002RB01'),</t>
  </si>
  <si>
    <t>('INP1643','P/1','Jumat','13:00 - 16:00','D062C9CA'),</t>
  </si>
  <si>
    <t>('INP1662','P/1','Jumat','13:30 - 16:30','D-LAB016'),</t>
  </si>
  <si>
    <t>THH1501</t>
  </si>
  <si>
    <t>E000G102</t>
  </si>
  <si>
    <t>('THH1501','K/1','Senin','08:00 - 09:40','E000G102'),</t>
  </si>
  <si>
    <t>THH1616</t>
  </si>
  <si>
    <t>E000X202</t>
  </si>
  <si>
    <t>('THH1616','K/1','Senin','08:00 - 09:40','E000X202'),</t>
  </si>
  <si>
    <t>THH1531</t>
  </si>
  <si>
    <t>E000DA3B</t>
  </si>
  <si>
    <t>('THH1531','K/1','Senin','10:00 - 11:40','E000DA3B'),</t>
  </si>
  <si>
    <t>THH1633</t>
  </si>
  <si>
    <t>E000AUD1</t>
  </si>
  <si>
    <t>('THH1633','K/1','Senin','10:00 - 11:40','E000AUD1'),</t>
  </si>
  <si>
    <t>THH1601</t>
  </si>
  <si>
    <t>E003B301</t>
  </si>
  <si>
    <t>('THH1601','K/1','Senin','13:00 - 14:40','E003B301'),</t>
  </si>
  <si>
    <t>THH1624</t>
  </si>
  <si>
    <t>E000AUD3</t>
  </si>
  <si>
    <t>('THH1624','K/1','Selasa','08:00 - 09:40','E000AUD3'),</t>
  </si>
  <si>
    <t>E000DA3A</t>
  </si>
  <si>
    <t>('THH1531','P/1','Selasa','08:00 - 11:00','E000DA3A'),</t>
  </si>
  <si>
    <t>THH1502</t>
  </si>
  <si>
    <t>E0002</t>
  </si>
  <si>
    <t>('THH1502','K/1','Selasa','10:00 - 11:40','E0002'),</t>
  </si>
  <si>
    <t>THH1643</t>
  </si>
  <si>
    <t>E00GU201</t>
  </si>
  <si>
    <t>('THH1643','K/1','Selasa','10:00 - 11:40','E00GU201'),</t>
  </si>
  <si>
    <t>THH1651</t>
  </si>
  <si>
    <t>E000X031</t>
  </si>
  <si>
    <t>('THH1651','K/1','Selasa','10:00 - 11:40','E000X031'),</t>
  </si>
  <si>
    <t>THH1612</t>
  </si>
  <si>
    <t>E000X034</t>
  </si>
  <si>
    <t>('THH1612','K/1','Selasa','13:00 - 14:40','E000X034'),</t>
  </si>
  <si>
    <t>('THH1616','P/1','Selasa','13:00 - 16:00','E003B301'),</t>
  </si>
  <si>
    <t>E000X022</t>
  </si>
  <si>
    <t>('THH1651','P/1','Selasa','13:00 - 16:00','E000X022'),</t>
  </si>
  <si>
    <t>THH1602</t>
  </si>
  <si>
    <t>('THH1602','K/1','Rabu','08:00 - 09:40','E000G102'),</t>
  </si>
  <si>
    <t>E002L201</t>
  </si>
  <si>
    <t>('THH1643','P/1','Rabu','09:50 - 11:50','E002L201'),</t>
  </si>
  <si>
    <t>E000DAR2</t>
  </si>
  <si>
    <t>('THH1624','P/1','Rabu','09:50 - 12:50','E000DAR2'),</t>
  </si>
  <si>
    <t>E000GERG</t>
  </si>
  <si>
    <t>('THH1501','P/1','Rabu','13:00 - 16:00','E000GERG'),</t>
  </si>
  <si>
    <t>THH1541</t>
  </si>
  <si>
    <t>('THH1541','K/1','Rabu','13:00 - 16:00','E000X022'),</t>
  </si>
  <si>
    <t>THH1632</t>
  </si>
  <si>
    <t>E0007</t>
  </si>
  <si>
    <t>('THH1632','K/1','Kamis','08:00 - 09:40','E0007'),</t>
  </si>
  <si>
    <t>THH150R</t>
  </si>
  <si>
    <t>E000X035</t>
  </si>
  <si>
    <t>('THH150R','K/1','Kamis','10:00 - 11:40','E000X035'),</t>
  </si>
  <si>
    <t>THH1511</t>
  </si>
  <si>
    <t>('THH1511','K/1','Kamis','13:00 - 14:40','E000G102'),</t>
  </si>
  <si>
    <t>E000SSK1</t>
  </si>
  <si>
    <t>('THH1632','P/1','Kamis','13:00 - 16:00','E000SSK1'),</t>
  </si>
  <si>
    <t>0000A04</t>
  </si>
  <si>
    <t>('THH1602','P/1','Jumat','08:00 - 11:00','0000A04'),</t>
  </si>
  <si>
    <t>E000X107</t>
  </si>
  <si>
    <t>('THH1612','P/1','Jumat','08:00 - 11:00','E000X107'),</t>
  </si>
  <si>
    <t>('THH1633','P/1','Jumat','08:00 - 11:00','E002L201'),</t>
  </si>
  <si>
    <t>E00GU301</t>
  </si>
  <si>
    <t>('THH1502','P/1','Jumat','13:30 - 16:30','E00GU301'),</t>
  </si>
  <si>
    <t>KSH1502</t>
  </si>
  <si>
    <t>('KSH1502','K/1','Senin','08:30 - 10:10','E0007'),</t>
  </si>
  <si>
    <t>('KSH1502','P/1','Senin','10:30 - 13:30','E0007'),</t>
  </si>
  <si>
    <t>KSH1511</t>
  </si>
  <si>
    <t>('KSH1511','K/1','Selasa','09:00 - 10:40','E0007'),</t>
  </si>
  <si>
    <t>KSH1656</t>
  </si>
  <si>
    <t>L0004</t>
  </si>
  <si>
    <t>('KSH1656','K/2','Selasa','09:00 - 10:40','L0004'),</t>
  </si>
  <si>
    <t>('KSH1511','P/1','Selasa','13:00 - 16:00','E0007'),</t>
  </si>
  <si>
    <t>KSH1512</t>
  </si>
  <si>
    <t>('KSH1512','K/1','Rabu','08:30 - 10:10','E0007'),</t>
  </si>
  <si>
    <t>KSH1541</t>
  </si>
  <si>
    <t>E000DA4B</t>
  </si>
  <si>
    <t>('KSH1541','K/1','Rabu','09:00 - 10:40','E000DA4B'),</t>
  </si>
  <si>
    <t>('KSH1512','P/1','Rabu','13:00 - 16:00','E0007'),</t>
  </si>
  <si>
    <t>KSH1618</t>
  </si>
  <si>
    <t>('KSH1618','K/1','Kamis','08:00 - 09:40','E000GERG'),</t>
  </si>
  <si>
    <t>KSH1623</t>
  </si>
  <si>
    <t>('KSH1623','K/1','Kamis','09:00 - 10:40','L0004'),</t>
  </si>
  <si>
    <t>KSH1646</t>
  </si>
  <si>
    <t>E0005</t>
  </si>
  <si>
    <t>('KSH1646','K/1','Kamis','09:00 - 10:40','E0005'),</t>
  </si>
  <si>
    <t>KSH1655</t>
  </si>
  <si>
    <t>E0006</t>
  </si>
  <si>
    <t>('KSH1655','K/1','Kamis','09:00 - 10:40','E0006'),</t>
  </si>
  <si>
    <t>('KSH1646','P/2','Kamis','13:00 - 16:00','E0005'),</t>
  </si>
  <si>
    <t>KSH1632</t>
  </si>
  <si>
    <t>('KSH1632','K/1','Jumat','09:30 - 11:10','E0006'),</t>
  </si>
  <si>
    <t>KSH1642</t>
  </si>
  <si>
    <t>('KSH1642','K/1','Jumat','13:30 - 15:10','L0004'),</t>
  </si>
  <si>
    <t>SVK1621</t>
  </si>
  <si>
    <t>('SVK1621','K/1','Senin','07:00 - 08:40','E0002'),</t>
  </si>
  <si>
    <t>SVK1501</t>
  </si>
  <si>
    <t>E0004</t>
  </si>
  <si>
    <t>('SVK1501','K/1','Senin','08:00 - 09:40','E0004'),</t>
  </si>
  <si>
    <t>('SVK1621','P/1','Senin','09:00 - 12:00','E0002'),</t>
  </si>
  <si>
    <t>('SVK1501','P/1','Senin','10:00 - 13:00','E0004'),</t>
  </si>
  <si>
    <t>BOT1632</t>
  </si>
  <si>
    <t>G0014</t>
  </si>
  <si>
    <t>('BOT1632','K/1','Selasa','10:00 - 11:40','G0014'),</t>
  </si>
  <si>
    <t>('SVK1621','K/2','Rabu','07:00 - 08:40','E0002'),</t>
  </si>
  <si>
    <t>SVK1634</t>
  </si>
  <si>
    <t>('SVK1634','K/1','Rabu','08:00 - 09:40','E00GU201'),</t>
  </si>
  <si>
    <t>SVK1611</t>
  </si>
  <si>
    <t>E0003</t>
  </si>
  <si>
    <t>('SVK1611','K/1','Rabu','09:00 - 10:40','E0003'),</t>
  </si>
  <si>
    <t>('SVK1621','P/2','Rabu','09:00 - 12:00','E0002'),</t>
  </si>
  <si>
    <t>E0001</t>
  </si>
  <si>
    <t>('SVK1611','P/1','Rabu','13:00 - 16:00','E0001'),</t>
  </si>
  <si>
    <t>('SVK1634','P/1','Rabu','15:00 - 18:00','E0003'),</t>
  </si>
  <si>
    <t>SVK1521</t>
  </si>
  <si>
    <t>('SVK1521','K/1','Jumat','08:00 - 09:40','E0004'),</t>
  </si>
  <si>
    <t>('SVK1521','P/1','Jumat','13:30 - 16:30','E0004'),</t>
  </si>
  <si>
    <t>TPB1613</t>
  </si>
  <si>
    <t>F0006</t>
  </si>
  <si>
    <t>('TPB1613','K/1','Senin','08:00 - 09:50','F0006'),</t>
  </si>
  <si>
    <t>TPB1606</t>
  </si>
  <si>
    <t>('TPB1606','K/1','Senin','10:00 - 11:50','F0006'),</t>
  </si>
  <si>
    <t>TPB1641</t>
  </si>
  <si>
    <t>F-G305</t>
  </si>
  <si>
    <t>('TPB1641','K/1','Senin','10:00 - 11:50','F-G305'),</t>
  </si>
  <si>
    <t>TPB1642</t>
  </si>
  <si>
    <t>F-B2041</t>
  </si>
  <si>
    <t>('TPB1642','K/1','Selasa','08:00 - 09:50','F-B2041'),</t>
  </si>
  <si>
    <t>TPB1501</t>
  </si>
  <si>
    <t>('TPB1501','K/1','Selasa','13:00 - 13:50','F0006'),</t>
  </si>
  <si>
    <t>('TPB1501','P/1','Selasa','14:00 - 16:50','F0006'),</t>
  </si>
  <si>
    <t>TPB1614</t>
  </si>
  <si>
    <t>F0010AMN</t>
  </si>
  <si>
    <t>('TPB1614','K/1','Rabu','08:00 - 09:50','F0010AMN'),</t>
  </si>
  <si>
    <t>TPB1623</t>
  </si>
  <si>
    <t>('TPB1623','K/1','Rabu','10:00 - 11:40','F0006'),</t>
  </si>
  <si>
    <t>TPB1621</t>
  </si>
  <si>
    <t>H203</t>
  </si>
  <si>
    <t>('TPB1621','K/1','Rabu','13:00 - 14:50','H203'),</t>
  </si>
  <si>
    <t>TPB1611</t>
  </si>
  <si>
    <t>F0002PAU</t>
  </si>
  <si>
    <t>('TPB1611','K/1','Rabu','15:00 - 16:40','F0002PAU'),</t>
  </si>
  <si>
    <t>TPB1612</t>
  </si>
  <si>
    <t>('TPB1612','K/1','Rabu','15:00 - 16:50','F0006'),</t>
  </si>
  <si>
    <t>TPB1631</t>
  </si>
  <si>
    <t>F0012040</t>
  </si>
  <si>
    <t>('TPB1631','K/1','Kamis','08:00 - 09:50','F0012040'),</t>
  </si>
  <si>
    <t>TPB1643</t>
  </si>
  <si>
    <t>FD310L02</t>
  </si>
  <si>
    <t>('TPB1643','K/1','Kamis','08:00 - 09:50','FD310L02'),</t>
  </si>
  <si>
    <t>TPB1605</t>
  </si>
  <si>
    <t>('TPB1605','K/1','Kamis','10:00 - 11:50','F0006'),</t>
  </si>
  <si>
    <t>TPB1602</t>
  </si>
  <si>
    <t>('TPB1602','P/1','Kamis','13:00 - 16:00','F0006'),</t>
  </si>
  <si>
    <t>TPB1632</t>
  </si>
  <si>
    <t>('TPB1632','K/1','Jumat','08:00 - 09:50','F0006'),</t>
  </si>
  <si>
    <t>TPB1617</t>
  </si>
  <si>
    <t>F-E302</t>
  </si>
  <si>
    <t>('TPB1617','K/1','Jumat','09:30 - 11:00','F-E302'),</t>
  </si>
  <si>
    <t>TPB1633</t>
  </si>
  <si>
    <t>('TPB1633','K/1','Jumat','13:00 - 14:50','FD310L02'),</t>
  </si>
  <si>
    <t>TPP1625</t>
  </si>
  <si>
    <t>F0002</t>
  </si>
  <si>
    <t>('TPP1625','K/1','Senin','08:00 - 09:50','F0002'),</t>
  </si>
  <si>
    <t>TPP1626</t>
  </si>
  <si>
    <t>F-G404</t>
  </si>
  <si>
    <t>('TPP1626','K/1','Senin','10:00 - 11:50','F-G404'),</t>
  </si>
  <si>
    <t>TPP1531</t>
  </si>
  <si>
    <t>F0007</t>
  </si>
  <si>
    <t>('TPP1531','K/1','Senin','13:00 - 14:50','F0007'),</t>
  </si>
  <si>
    <t>TPP1522</t>
  </si>
  <si>
    <t>('TPP1522','K/1','Selasa','08:00 - 09:50','F0007'),</t>
  </si>
  <si>
    <t>TPP1622</t>
  </si>
  <si>
    <t>('TPP1622','K/1','Selasa','10:00 - 11:50','F0007'),</t>
  </si>
  <si>
    <t>TPP1523</t>
  </si>
  <si>
    <t>('TPP1523','K/1','Rabu','08:00 - 09:50','F0007'),</t>
  </si>
  <si>
    <t>TPP1624</t>
  </si>
  <si>
    <t>('TPP1624','K/1','Rabu','10:00 - 11:50','F0007'),</t>
  </si>
  <si>
    <t>TPP1629</t>
  </si>
  <si>
    <t>IPBF0303</t>
  </si>
  <si>
    <t>('TPP1629','K/1','Rabu','13:00 - 14:50','IPBF0303'),</t>
  </si>
  <si>
    <t>TPP1524</t>
  </si>
  <si>
    <t>('TPP1524','P/1','Kamis','08:00 - 10:50','F0007'),</t>
  </si>
  <si>
    <t>TPP1627</t>
  </si>
  <si>
    <t>('TPP1627','K/1','Kamis','10:00 - 11:50','IPBF0303'),</t>
  </si>
  <si>
    <t>TPP1621</t>
  </si>
  <si>
    <t>('TPP1621','K/1','Jumat','08:00 - 09:50','F-B2042'),</t>
  </si>
  <si>
    <t>TPP1628</t>
  </si>
  <si>
    <t>('TPP1628','K/1','Jumat','13:00 - 14:50','IPBF0303'),</t>
  </si>
  <si>
    <t>IPN1612</t>
  </si>
  <si>
    <t>L0002</t>
  </si>
  <si>
    <t>('IPN1612','K/1','Senin','10:00 - 11:40','L0002'),</t>
  </si>
  <si>
    <t>IPN1621</t>
  </si>
  <si>
    <t>L0003</t>
  </si>
  <si>
    <t>('IPN1621','K/1','Senin','10:00 - 11:40','L0003'),</t>
  </si>
  <si>
    <t>IPN1613</t>
  </si>
  <si>
    <t>F-E305</t>
  </si>
  <si>
    <t>('IPN1613','K/1','Senin','13:00 - 14:40','F-E305'),</t>
  </si>
  <si>
    <t>IPN1503</t>
  </si>
  <si>
    <t>('IPN1503','K/1','Selasa','08:00 - 09:40','L0003'),</t>
  </si>
  <si>
    <t>('IPN1503','K/2','Selasa','08:00 - 09:40','L0002'),</t>
  </si>
  <si>
    <t>IPN1641</t>
  </si>
  <si>
    <t>('IPN1641','K/1','Selasa','10:00 - 12:30','L0003'),</t>
  </si>
  <si>
    <t>IPN1506</t>
  </si>
  <si>
    <t>('IPN1506','P/1','Selasa','12:30 - 15:00','L0002'),</t>
  </si>
  <si>
    <t>('IPN1506','P/2','Selasa','15:30 - 18:00','L0003'),</t>
  </si>
  <si>
    <t>IPN1633</t>
  </si>
  <si>
    <t>('IPN1633','K/1','Rabu','07:30 - 10:00','L0003'),</t>
  </si>
  <si>
    <t>('IPN1506','K/1','Rabu','13:00 - 14:40','L0002'),</t>
  </si>
  <si>
    <t>('IPN1506','K/2','Rabu','13:00 - 14:40','L0003'),</t>
  </si>
  <si>
    <t>IPN1642</t>
  </si>
  <si>
    <t>('IPN1642','P/1','Rabu','15:00 - 18:00','IPBF0303'),</t>
  </si>
  <si>
    <t>IPN1504</t>
  </si>
  <si>
    <t>('IPN1504','K/1','Kamis','08:00 - 09:40','L0002'),</t>
  </si>
  <si>
    <t>('IPN1504','K/2','Kamis','08:00 - 09:40','L0003'),</t>
  </si>
  <si>
    <t>IPN1634</t>
  </si>
  <si>
    <t>('IPN1634','K/1','Kamis','10:00 - 11:40','L0003'),</t>
  </si>
  <si>
    <t>IPN1623</t>
  </si>
  <si>
    <t>('IPN1623','K/1','Jumat','08:00 - 10:30','L0002'),</t>
  </si>
  <si>
    <t>('IPN1612','P/1','Jumat','08:00 - 11:00','L0003'),</t>
  </si>
  <si>
    <t>('IPN1642','K/1','Jumat','13:30 - 15:10','L0002'),</t>
  </si>
  <si>
    <t>TPN1503</t>
  </si>
  <si>
    <t>L0006</t>
  </si>
  <si>
    <t>('TPN1503','K/1','Sabtu','08:00 - 09:40','L0006'),</t>
  </si>
  <si>
    <t>TPN1541</t>
  </si>
  <si>
    <t>L0001</t>
  </si>
  <si>
    <t>('TPN1541','K/1','Sabtu','09:50 - 11:30','L0001'),</t>
  </si>
  <si>
    <t>TPN1601</t>
  </si>
  <si>
    <t>('TPN1601','K/2','Sabtu','09:50 - 11:30','L0006'),</t>
  </si>
  <si>
    <t>('TPN1541','K/2','Sabtu','12:30 - 14:10','L0006'),</t>
  </si>
  <si>
    <t>('TPN1601','K/1','Sabtu','12:30 - 14:10','L0001'),</t>
  </si>
  <si>
    <t>TPN1602</t>
  </si>
  <si>
    <t>('TPN1602','K/1','Sabtu','14:20 - 16:00','L0006'),</t>
  </si>
  <si>
    <t>TPN1622</t>
  </si>
  <si>
    <t>('TPN1622','K/1','Sabtu','14:20 - 16:00','L0001'),</t>
  </si>
  <si>
    <t>TPN1641</t>
  </si>
  <si>
    <t>L0005</t>
  </si>
  <si>
    <t>('TPN1641','K/1','Sabtu','14:20 - 16:00','L0005'),</t>
  </si>
  <si>
    <t>('TPN1602','P/1','Sabtu','16:00 - 16:50','L0006'),</t>
  </si>
  <si>
    <t>('TPN1622','P/1','Sabtu','16:00 - 16:50','F-G305'),</t>
  </si>
  <si>
    <t>TIN1592</t>
  </si>
  <si>
    <t>F0001</t>
  </si>
  <si>
    <t>('TIN1592','K/1','Senin','08:00 - 09:00','F0001'),</t>
  </si>
  <si>
    <t>('TIN1592','P/1','Senin','09:00 - 10:00','F0001'),</t>
  </si>
  <si>
    <t>TIN1562</t>
  </si>
  <si>
    <t>('TIN1562','K/1','Senin','10:00 - 11:40','F0002'),</t>
  </si>
  <si>
    <t>TIN1617</t>
  </si>
  <si>
    <t>('TIN1617','K/1','Senin','13:00 - 14:40','F-E302'),</t>
  </si>
  <si>
    <t>TIN1662</t>
  </si>
  <si>
    <t>F0005</t>
  </si>
  <si>
    <t>('TIN1662','K/1','Senin','13:00 - 14:40','F0005'),</t>
  </si>
  <si>
    <t>TIN1675</t>
  </si>
  <si>
    <t>('TIN1675','K/1','Senin','13:00 - 14:40','F-B2042'),</t>
  </si>
  <si>
    <t>('TIN1562','P/1','Senin','13:00 - 15:00','F0002'),</t>
  </si>
  <si>
    <t>F-F204</t>
  </si>
  <si>
    <t>('TIN1675','P/1','Senin','14:40 - 17:00','F-F204'),</t>
  </si>
  <si>
    <t>('TIN1662','P/1','Senin','15:00 - 17:00','F0005'),</t>
  </si>
  <si>
    <t>F-G403</t>
  </si>
  <si>
    <t>('TIN1617','P/1','Senin','15:00 - 17:30','F-G403'),</t>
  </si>
  <si>
    <t>TIN1521</t>
  </si>
  <si>
    <t>('TIN1521','K/1','Selasa','08:00 - 09:40','F0001'),</t>
  </si>
  <si>
    <t>TIN1619</t>
  </si>
  <si>
    <t>('TIN1619','K/1','Selasa','08:00 - 09:40','F0005'),</t>
  </si>
  <si>
    <t>('TIN1521','P/1','Selasa','09:40 - 12:10','F0001'),</t>
  </si>
  <si>
    <t>('TIN1619','P/1','Selasa','09:40 - 12:10','F0005'),</t>
  </si>
  <si>
    <t>TIN1629</t>
  </si>
  <si>
    <t>('TIN1629','K/1','Selasa','13:00 - 14:40','F0001'),</t>
  </si>
  <si>
    <t>TIN1651</t>
  </si>
  <si>
    <t>F0004</t>
  </si>
  <si>
    <t>('TIN1651','K/1','Selasa','13:00 - 14:40','F0004'),</t>
  </si>
  <si>
    <t>('TIN1629','P/2','Selasa','15:00 - 17:00','F0001'),</t>
  </si>
  <si>
    <t>F-G417</t>
  </si>
  <si>
    <t>('TIN1651','P/1','Selasa','15:00 - 17:00','F-G417'),</t>
  </si>
  <si>
    <t>TIN1678</t>
  </si>
  <si>
    <t>('TIN1678','K/1','Rabu','08:00 - 09:00','F-G305'),</t>
  </si>
  <si>
    <t>TIN1511</t>
  </si>
  <si>
    <t>('TIN1511','K/1','Rabu','08:00 - 09:40','F0001'),</t>
  </si>
  <si>
    <t>TIN1664</t>
  </si>
  <si>
    <t>F0003</t>
  </si>
  <si>
    <t>('TIN1664','K/1','Rabu','08:00 - 09:40','F0003'),</t>
  </si>
  <si>
    <t>TIN1644</t>
  </si>
  <si>
    <t>('TIN1644','K/1','Rabu','13:00 - 14:40','F0003'),</t>
  </si>
  <si>
    <t>('TIN1511','P/1','Rabu','13:00 - 15:30','F0001'),</t>
  </si>
  <si>
    <t>('TIN1678','P/1','Rabu','13:00 - 15:30','F0005'),</t>
  </si>
  <si>
    <t>F000LAB</t>
  </si>
  <si>
    <t>('TIN1644','P/1','Rabu','14:40 - 17:00','F000LAB'),</t>
  </si>
  <si>
    <t>TIN1691</t>
  </si>
  <si>
    <t>('TIN1691','P/1','Kamis','07:00 - 09:30','F0012040'),</t>
  </si>
  <si>
    <t>F-E304</t>
  </si>
  <si>
    <t>('TIN1691','P/2','Kamis','07:00 - 09:30','F-E304'),</t>
  </si>
  <si>
    <t>('TIN1691','P/3','Kamis','07:00 - 09:30','F-B2041'),</t>
  </si>
  <si>
    <t>F-G302</t>
  </si>
  <si>
    <t>('TIN1691','P/4','Kamis','07:00 - 09:30','F-G302'),</t>
  </si>
  <si>
    <t>F-B2044</t>
  </si>
  <si>
    <t>('TIN1691','P/5','Kamis','07:00 - 09:30','F-B2044'),</t>
  </si>
  <si>
    <t>TIN1612</t>
  </si>
  <si>
    <t>('TIN1612','K/1','Kamis','08:00 - 09:40','F0002'),</t>
  </si>
  <si>
    <t>TIN162A</t>
  </si>
  <si>
    <t>('TIN162A','K/1','Kamis','08:00 - 09:40','F0001'),</t>
  </si>
  <si>
    <t>('TIN1612','P/1','Kamis','09:40 - 12:10','F0002'),</t>
  </si>
  <si>
    <t>('TIN162A','P/1','Kamis','09:40 - 12:10','F0012040'),</t>
  </si>
  <si>
    <t>TIN1692</t>
  </si>
  <si>
    <t>('TIN1692','P/1','Kamis','10:00 - 10:50','F0003'),</t>
  </si>
  <si>
    <t>TIN1631</t>
  </si>
  <si>
    <t>L0008</t>
  </si>
  <si>
    <t>('TIN1631','K/1','Kamis','13:00 - 14:40','L0008'),</t>
  </si>
  <si>
    <t>TIN1633</t>
  </si>
  <si>
    <t>('TIN1633','K/1','Kamis','13:00 - 14:40','F0002'),</t>
  </si>
  <si>
    <t>('TIN1691','P/10','Kamis','13:00 - 15:30','F-E304'),</t>
  </si>
  <si>
    <t>F001LAB</t>
  </si>
  <si>
    <t>('TIN1691','P/6','Kamis','13:00 - 15:30','F001LAB'),</t>
  </si>
  <si>
    <t>('TIN1691','P/7','Kamis','13:00 - 15:30','F0001'),</t>
  </si>
  <si>
    <t>('TIN1691','P/8','Kamis','13:00 - 15:30','F-G305'),</t>
  </si>
  <si>
    <t>F0003PAU</t>
  </si>
  <si>
    <t>('TIN1691','P/9','Kamis','13:00 - 15:30','F0003PAU'),</t>
  </si>
  <si>
    <t>('TIN1633','P/1','Kamis','14:40 - 17:00','F0002'),</t>
  </si>
  <si>
    <t>F-G412</t>
  </si>
  <si>
    <t>('TIN1631','P/1','Kamis','15:00 - 18:00','F-G412'),</t>
  </si>
  <si>
    <t>F-G401</t>
  </si>
  <si>
    <t>('TIN1691','P/11','Kamis','16:30 - 18:00','F-G401'),</t>
  </si>
  <si>
    <t>IPBF0201</t>
  </si>
  <si>
    <t>('TIN1691','P/12','Kamis','16:30 - 18:00','IPBF0201'),</t>
  </si>
  <si>
    <t>F-G414</t>
  </si>
  <si>
    <t>('TIN1691','P/13','Kamis','16:30 - 18:00','F-G414'),</t>
  </si>
  <si>
    <t>F0011030</t>
  </si>
  <si>
    <t>('TIN1691','P/14','Kamis','16:30 - 18:00','F0011030'),</t>
  </si>
  <si>
    <t>('TIN1691','P/15','Kamis','16:30 - 18:00','F0006'),</t>
  </si>
  <si>
    <t>IPBF0203</t>
  </si>
  <si>
    <t>('TIN1691','P/16','Kamis','16:30 - 18:00','IPBF0203'),</t>
  </si>
  <si>
    <t>TIN1676</t>
  </si>
  <si>
    <t>('TIN1676','K/1','Jumat','08:00 - 09:40','F0003'),</t>
  </si>
  <si>
    <t>('TIN1676','P/1','Jumat','09:40 - 12:10','F0003'),</t>
  </si>
  <si>
    <t>TIN1663</t>
  </si>
  <si>
    <t>('TIN1663','K/1','Jumat','13:00 - 14:40','F0003'),</t>
  </si>
  <si>
    <t>TIN1672</t>
  </si>
  <si>
    <t>('TIN1672','K/1','Jumat','13:00 - 15:30','F0001'),</t>
  </si>
  <si>
    <t>('TIN1663','P/1','Jumat','14:40 - 17:00','F0004'),</t>
  </si>
  <si>
    <t>SIL1621</t>
  </si>
  <si>
    <t>F-G410</t>
  </si>
  <si>
    <t>('SIL1621','K/1','Senin','08:00 - 09:40','F-G410'),</t>
  </si>
  <si>
    <t>SIL1635</t>
  </si>
  <si>
    <t>IPBF0301</t>
  </si>
  <si>
    <t>('SIL1635','K/1','Senin','10:00 - 11:40','IPBF0301'),</t>
  </si>
  <si>
    <t>IPBF0202</t>
  </si>
  <si>
    <t>('SIL1635','P/1','Senin','13:00 - 16:00','IPBF0202'),</t>
  </si>
  <si>
    <t>SIL1613</t>
  </si>
  <si>
    <t>R. Pasca SIL 2</t>
  </si>
  <si>
    <t>('SIL1613','K/1','Senin','14:00 - 15:40','R. Pasca SIL 2'),</t>
  </si>
  <si>
    <t>SIL1531</t>
  </si>
  <si>
    <t>IPBF0102</t>
  </si>
  <si>
    <t>('SIL1531','K/1','Selasa','08:00 - 09:40','IPBF0102'),</t>
  </si>
  <si>
    <t>SIL1625</t>
  </si>
  <si>
    <t>('SIL1625','K/1','Selasa','08:00 - 09:40','F0005'),</t>
  </si>
  <si>
    <t>SIL1528</t>
  </si>
  <si>
    <t>('SIL1528','K/1','Selasa','10:00 - 11:40','F0011030'),</t>
  </si>
  <si>
    <t>SIL1512</t>
  </si>
  <si>
    <t>F-G415</t>
  </si>
  <si>
    <t>('SIL1512','K/1','Selasa','13:00 - 14:40','F-G415'),</t>
  </si>
  <si>
    <t>SIL1590</t>
  </si>
  <si>
    <t>F-G416</t>
  </si>
  <si>
    <t>('SIL1590','K/1','Selasa','16:00 - 17:40','F-G416'),</t>
  </si>
  <si>
    <t>F001B102</t>
  </si>
  <si>
    <t>('SIL1531','P/1','Rabu','13:00 - 16:00','F001B102'),</t>
  </si>
  <si>
    <t>SIL1615</t>
  </si>
  <si>
    <t>('SIL1615','K/1','Rabu','16:00 - 17:40','IPBF0203'),</t>
  </si>
  <si>
    <t>SIL1647</t>
  </si>
  <si>
    <t>F-G405</t>
  </si>
  <si>
    <t>('SIL1647','K/1','Kamis','10:00 - 11:40','F-G405'),</t>
  </si>
  <si>
    <t>SIL1502</t>
  </si>
  <si>
    <t>FD310L01</t>
  </si>
  <si>
    <t>('SIL1502','K/1','Kamis','14:00 - 15:40','FD310L01'),</t>
  </si>
  <si>
    <t>('SIL1590','P/1','Kamis','16:00 - 19:00','F0003PAU'),</t>
  </si>
  <si>
    <t>STA1541</t>
  </si>
  <si>
    <t>ISTR205</t>
  </si>
  <si>
    <t>('STA1541','K/1','Senin','08:00 - 10:00','ISTR205'),</t>
  </si>
  <si>
    <t>STA1542</t>
  </si>
  <si>
    <t>ISTR211</t>
  </si>
  <si>
    <t>('STA1542','K/1','Senin','08:00 - 10:00','ISTR211'),</t>
  </si>
  <si>
    <t>STA1582</t>
  </si>
  <si>
    <t>('STA1582','K/1','Senin','08:00 - 10:00','C162RP25'),</t>
  </si>
  <si>
    <t>ISTR306</t>
  </si>
  <si>
    <t>('STA1541','P/1','Senin','10:00 - 12:00','ISTR306'),</t>
  </si>
  <si>
    <t>G0001</t>
  </si>
  <si>
    <t>('STA1542','P/1','Senin','10:00 - 12:00','G0001'),</t>
  </si>
  <si>
    <t>('STA1582','P/1','Senin','10:00 - 12:00','C162RP25'),</t>
  </si>
  <si>
    <t>STA1500</t>
  </si>
  <si>
    <t>ISTR201</t>
  </si>
  <si>
    <t>('STA1500','K/1','Senin','13:00 - 15:00','ISTR201'),</t>
  </si>
  <si>
    <t>ISTR307</t>
  </si>
  <si>
    <t>('STA1500','P/1','Senin','15:00 - 17:00','ISTR307'),</t>
  </si>
  <si>
    <t>STA1521</t>
  </si>
  <si>
    <t>('STA1521','K/1','Selasa','08:00 - 10:00','ISTR306'),</t>
  </si>
  <si>
    <t>STA1562</t>
  </si>
  <si>
    <t>('STA1562','K/1','Selasa','08:00 - 10:00','C162RP24'),</t>
  </si>
  <si>
    <t>('STA1562','P/1','Selasa','10:00 - 11:00','C162RP24'),</t>
  </si>
  <si>
    <t>('STA1521','P/1','Selasa','10:00 - 12:00','ISTR306'),</t>
  </si>
  <si>
    <t>ISTR304</t>
  </si>
  <si>
    <t>('STA1500','K/2','Selasa','13:00 - 15:00','ISTR304'),</t>
  </si>
  <si>
    <t>ISTR308</t>
  </si>
  <si>
    <t>('STA1500','P/2','Selasa','15:00 - 17:00','ISTR308'),</t>
  </si>
  <si>
    <t>STA1501</t>
  </si>
  <si>
    <t>ISTR204</t>
  </si>
  <si>
    <t>('STA1501','K/1','Kamis','08:00 - 10:00','ISTR204'),</t>
  </si>
  <si>
    <t>STA1553</t>
  </si>
  <si>
    <t>('STA1553','K/1','Kamis','08:00 - 10:00','ISTR304'),</t>
  </si>
  <si>
    <t>STA1583</t>
  </si>
  <si>
    <t>('STA1583','K/1','Kamis','08:00 - 10:00','ISTR307'),</t>
  </si>
  <si>
    <t>('STA1501','P/1','Kamis','10:00 - 12:00','ISTR307'),</t>
  </si>
  <si>
    <t>ISTR311</t>
  </si>
  <si>
    <t>('STA1553','P/1','Kamis','10:00 - 12:00','ISTR311'),</t>
  </si>
  <si>
    <t>STA1543</t>
  </si>
  <si>
    <t>('STA1543','K/1','Kamis','13:00 - 15:00','ISTR306'),</t>
  </si>
  <si>
    <t>('STA1583','P/1','Kamis','13:00 - 15:00','ISTR307'),</t>
  </si>
  <si>
    <t>ISTR309</t>
  </si>
  <si>
    <t>('STA1543','P/1','Kamis','15:00 - 17:00','ISTR309'),</t>
  </si>
  <si>
    <t>STA1544</t>
  </si>
  <si>
    <t>IPBU0101</t>
  </si>
  <si>
    <t>('STA1544','K/1','Jumat','08:00 - 10:00','IPBU0101'),</t>
  </si>
  <si>
    <t>STA1522</t>
  </si>
  <si>
    <t>('STA1522','K/1','Jumat','09:00 - 11:00','ISTR205'),</t>
  </si>
  <si>
    <t>('STA1522','P/1','Jumat','13:00 - 15:00','ISTR308'),</t>
  </si>
  <si>
    <t>G6LAB02</t>
  </si>
  <si>
    <t>('STA1544','P/1','Jumat','13:30 - 15:30','G6LAB02'),</t>
  </si>
  <si>
    <t>STA1554</t>
  </si>
  <si>
    <t>('STA1554','K/1','Sabtu','08:00 - 10:00','IPBU0101'),</t>
  </si>
  <si>
    <t>IPBU0301</t>
  </si>
  <si>
    <t>('STA1554','P/1','Sabtu','10:00 - 12:00','IPBU0301'),</t>
  </si>
  <si>
    <t>GFM1640</t>
  </si>
  <si>
    <t>G0017</t>
  </si>
  <si>
    <t>('GFM1640','K/1','Senin','10:00 - 12:00','G0017'),</t>
  </si>
  <si>
    <t>GFM1646</t>
  </si>
  <si>
    <t>G0018</t>
  </si>
  <si>
    <t>('GFM1646','K/1','Senin','10:00 - 12:00','G0018'),</t>
  </si>
  <si>
    <t>GFM1604</t>
  </si>
  <si>
    <t>('GFM1604','K/1','Senin','15:30 - 17:30','IPBU0301'),</t>
  </si>
  <si>
    <t>GFM1630</t>
  </si>
  <si>
    <t>('GFM1630','K/1','Selasa','10:00 - 12:00','G0017'),</t>
  </si>
  <si>
    <t>GFM1632</t>
  </si>
  <si>
    <t>('GFM1632','K/1','Selasa','10:30 - 12:30','G0018'),</t>
  </si>
  <si>
    <t>('GFM1632','P/1','Selasa','13:00 - 15:30','G0018'),</t>
  </si>
  <si>
    <t>GFM1612</t>
  </si>
  <si>
    <t>('GFM1612','K/1','Rabu','13:00 - 15:00','G0017'),</t>
  </si>
  <si>
    <t>G0004</t>
  </si>
  <si>
    <t>('GFM1612','P/1','Rabu','15:00 - 17:40','G0004'),</t>
  </si>
  <si>
    <t>GFM162A</t>
  </si>
  <si>
    <t>('GFM162A','K/1','Kamis','08:00 - 10:00','G0017'),</t>
  </si>
  <si>
    <t>('GFM162A','P/1','Kamis','10:30 - 13:00','G0018'),</t>
  </si>
  <si>
    <t>GFM1614</t>
  </si>
  <si>
    <t>('GFM1614','K/1','Kamis','13:30 - 15:30','G0017'),</t>
  </si>
  <si>
    <t>GFM1622</t>
  </si>
  <si>
    <t>('GFM1622','K/1','Jumat','13:30 - 15:30','G0017'),</t>
  </si>
  <si>
    <t>('GFM1622','P/1','Jumat','15:30 - 18:00','G0017'),</t>
  </si>
  <si>
    <t>MIK151D</t>
  </si>
  <si>
    <t>('MIK151D','P/1','Senin','07:30 - 12:30','G0004'),</t>
  </si>
  <si>
    <t>BIO1621</t>
  </si>
  <si>
    <t>G0015</t>
  </si>
  <si>
    <t>('BIO1621','K/1','Selasa','08:00 - 09:40','G0015'),</t>
  </si>
  <si>
    <t>BIO1524</t>
  </si>
  <si>
    <t>IPBU0302</t>
  </si>
  <si>
    <t>('BIO1524','K/1','Selasa','10:00 - 11:40','IPBU0302'),</t>
  </si>
  <si>
    <t>BIO1514</t>
  </si>
  <si>
    <t>G0005</t>
  </si>
  <si>
    <t>('BIO1514','P/1','Rabu','08:00 - 11:00','G0005'),</t>
  </si>
  <si>
    <t>MIK152C</t>
  </si>
  <si>
    <t>G0003</t>
  </si>
  <si>
    <t>('MIK152C','P/1','Rabu','13:00 - 16:00','G0003'),</t>
  </si>
  <si>
    <t>G0002</t>
  </si>
  <si>
    <t>('BIO1621','P/1','Kamis','09:00 - 12:00','G0002'),</t>
  </si>
  <si>
    <t>('BIO1524','P/1','Kamis','13:00 - 16:00','G0002'),</t>
  </si>
  <si>
    <t>('BIO1514','K/1','Jumat','08:00 - 09:40','G0014'),</t>
  </si>
  <si>
    <t>BSH1561</t>
  </si>
  <si>
    <t>('BSH1561','P/1','Senin','07:30 - 11:00','G0014'),</t>
  </si>
  <si>
    <t>('BSH1561','K/1','Senin','13:00 - 14:40','G0014'),</t>
  </si>
  <si>
    <t>BSH1553</t>
  </si>
  <si>
    <t>('BSH1553','K/1','Senin','15:00 - 16:40','G0014'),</t>
  </si>
  <si>
    <t>('BSH1553','P/1','Selasa','07:00 - 09:30','G0014'),</t>
  </si>
  <si>
    <t>BSH1555</t>
  </si>
  <si>
    <t>('BSH1555','K/1','Selasa','10:00 - 11:40','G0013'),</t>
  </si>
  <si>
    <t>BSH1654</t>
  </si>
  <si>
    <t>G0010</t>
  </si>
  <si>
    <t>('BSH1654','K/1','Selasa','10:00 - 11:40','G0010'),</t>
  </si>
  <si>
    <t>BSH165A</t>
  </si>
  <si>
    <t>G0007</t>
  </si>
  <si>
    <t>('BSH165A','K/1','Selasa','10:00 - 11:40','G0007'),</t>
  </si>
  <si>
    <t>BSH1663</t>
  </si>
  <si>
    <t>G0008</t>
  </si>
  <si>
    <t>('BSH1663','K/1','Selasa','10:00 - 11:40','G0008'),</t>
  </si>
  <si>
    <t>BSH1664</t>
  </si>
  <si>
    <t>G0009</t>
  </si>
  <si>
    <t>('BSH1664','K/1','Selasa','10:00 - 11:40','G0009'),</t>
  </si>
  <si>
    <t>('BSH1555','P/1','Selasa','13:00 - 15:30','G0015'),</t>
  </si>
  <si>
    <t>('BSH1654','P/1','Selasa','13:00 - 15:30','G0010'),</t>
  </si>
  <si>
    <t>('BSH165A','P/1','Selasa','13:00 - 15:30','G0007'),</t>
  </si>
  <si>
    <t>('BSH1663','P/1','Selasa','13:00 - 15:30','G0008'),</t>
  </si>
  <si>
    <t>('BSH1664','P/1','Selasa','13:00 - 15:30','G0009'),</t>
  </si>
  <si>
    <t>BSH1551</t>
  </si>
  <si>
    <t>('BSH1551','K/1','Rabu','07:20 - 09:00','G0015'),</t>
  </si>
  <si>
    <t>('BSH1551','P/1','Rabu','13:00 - 15:30','G0015'),</t>
  </si>
  <si>
    <t>BIO1691</t>
  </si>
  <si>
    <t>('BIO1691','P/2','Rabu','16:00 - 17:00','G0015'),</t>
  </si>
  <si>
    <t>BSH1662</t>
  </si>
  <si>
    <t>('BSH1662','P/1','Kamis','07:00 - 09:30','G0009'),</t>
  </si>
  <si>
    <t>('BSH1662','K/1','Kamis','10:00 - 11:40','G0010'),</t>
  </si>
  <si>
    <t>BSH165E</t>
  </si>
  <si>
    <t>('BSH165E','K/1','Kamis','13:00 - 14:40','G0010'),</t>
  </si>
  <si>
    <t>BSH1656</t>
  </si>
  <si>
    <t>('BSH1656','K/1','Jumat','07:00 - 08:40','G0015'),</t>
  </si>
  <si>
    <t>('BSH1656','P/1','Jumat','09:00 - 11:30','G0005'),</t>
  </si>
  <si>
    <t>BSH1562</t>
  </si>
  <si>
    <t>('BSH1562','K/1','Jumat','13:00 - 14:40','G0015'),</t>
  </si>
  <si>
    <t>BSH1652</t>
  </si>
  <si>
    <t>('BSH1652','K/1','Jumat','13:00 - 14:40','G0008'),</t>
  </si>
  <si>
    <t>G0006</t>
  </si>
  <si>
    <t>('BSH1562','P/1','Jumat','15:00 - 17:30','G0006'),</t>
  </si>
  <si>
    <t>('BSH1652','P/1','Jumat','15:00 - 17:30','G0008'),</t>
  </si>
  <si>
    <t>BOT1535</t>
  </si>
  <si>
    <t>('BOT1535','K/1','Senin','08:00 - 09:40','G0009'),</t>
  </si>
  <si>
    <t>BOT1544</t>
  </si>
  <si>
    <t>('BOT1544','K/1','Senin','10:00 - 11:40','G0010'),</t>
  </si>
  <si>
    <t>BOT1633</t>
  </si>
  <si>
    <t>G3RK001.3</t>
  </si>
  <si>
    <t>('BOT1633','K/1','Senin','10:00 - 11:40','G3RK001.3'),</t>
  </si>
  <si>
    <t>IPBU0201</t>
  </si>
  <si>
    <t>('BOT1544','P/1','Senin','11:50 - 13:00','IPBU0201'),</t>
  </si>
  <si>
    <t>BOT1636</t>
  </si>
  <si>
    <t>('BOT1636','K/1','Senin','13:00 - 14:40','G0007'),</t>
  </si>
  <si>
    <t>BOT1642</t>
  </si>
  <si>
    <t>('BOT1642','K/1','Senin','13:00 - 14:40','G0009'),</t>
  </si>
  <si>
    <t>BOT1637</t>
  </si>
  <si>
    <t>('BOT1637','K/1','Selasa','08:00 - 09:40','G0010'),</t>
  </si>
  <si>
    <t>BOT1635</t>
  </si>
  <si>
    <t>('BOT1635','P/1','Selasa','13:00 - 19:00','IPBU0201'),</t>
  </si>
  <si>
    <t>BOT1543</t>
  </si>
  <si>
    <t>('BOT1543','K/1','Rabu','13:30 - 15:10','G0007'),</t>
  </si>
  <si>
    <t>BOT1534</t>
  </si>
  <si>
    <t>('BOT1534','K/1','Kamis','07:00 - 08:40','G0010'),</t>
  </si>
  <si>
    <t>BOT1533</t>
  </si>
  <si>
    <t>('BOT1533','K/1','Kamis','08:00 - 09:40','G0008'),</t>
  </si>
  <si>
    <t>BOT1646</t>
  </si>
  <si>
    <t>('BOT1646','K/1','Kamis','08:00 - 09:40','G0007'),</t>
  </si>
  <si>
    <t>BOT1631</t>
  </si>
  <si>
    <t>('BOT1631','K/1','Kamis','10:00 - 10:50','G0009'),</t>
  </si>
  <si>
    <t>('BOT1631','P/1','Kamis','10:50 - 12:30','G0010'),</t>
  </si>
  <si>
    <t>BOT1545</t>
  </si>
  <si>
    <t>('BOT1545','K/1','Kamis','13:00 - 14:40','G0008'),</t>
  </si>
  <si>
    <t>BOT1645</t>
  </si>
  <si>
    <t>('BOT1645','K/1','Kamis','13:30 - 15:10','G0007'),</t>
  </si>
  <si>
    <t>BOT1644</t>
  </si>
  <si>
    <t>('BOT1644','K/1','Kamis','15:00 - 16:40','G0008'),</t>
  </si>
  <si>
    <t>BOT1634</t>
  </si>
  <si>
    <t>('BOT1634','P/1','Jumat','08:00 - 14:00','G0006'),</t>
  </si>
  <si>
    <t>BOT1643</t>
  </si>
  <si>
    <t>IPBU0303</t>
  </si>
  <si>
    <t>('BOT1643','P/1','Sabtu','08:00 - 16:00','IPBU0303'),</t>
  </si>
  <si>
    <t>BOT1641</t>
  </si>
  <si>
    <t>('BOT1641','P/1','Sabtu','11:00 - 16:00','G0002'),</t>
  </si>
  <si>
    <t>KIM1638</t>
  </si>
  <si>
    <t>('KIM1638','K/1','Senin','09:00 - 11:30','G0004'),</t>
  </si>
  <si>
    <t>KIM1616</t>
  </si>
  <si>
    <t>G6LAB01</t>
  </si>
  <si>
    <t>('KIM1616','K/1','Senin','13:00 - 14:40','G6LAB01'),</t>
  </si>
  <si>
    <t>KIM1654</t>
  </si>
  <si>
    <t>G41KIMIA1</t>
  </si>
  <si>
    <t>('KIM1654','K/1','Selasa','10:00 - 12:30','G41KIMIA1'),</t>
  </si>
  <si>
    <t>KIM1617</t>
  </si>
  <si>
    <t>('KIM1617','K/1','Selasa','13:30 - 16:00','G0018'),</t>
  </si>
  <si>
    <t>KIM1502</t>
  </si>
  <si>
    <t>('KIM1502','K/1','Rabu','13:00 - 14:40','IPBU0303'),</t>
  </si>
  <si>
    <t>KIM1637</t>
  </si>
  <si>
    <t>G6LAB03</t>
  </si>
  <si>
    <t>('KIM1637','K/1','Kamis','08:00 - 10:30','G6LAB03'),</t>
  </si>
  <si>
    <t>KIM1641</t>
  </si>
  <si>
    <t>('KIM1641','K/1','Kamis','11:00 - 12:40','IPBU0301'),</t>
  </si>
  <si>
    <t>G0016</t>
  </si>
  <si>
    <t>('KIM1502','P/1','Kamis','13:30 - 15:30','G0016'),</t>
  </si>
  <si>
    <t>MAT1232</t>
  </si>
  <si>
    <t>('MAT1232','K/1','Senin','08:00 - 09:40','ISTR304'),</t>
  </si>
  <si>
    <t>MAT1554</t>
  </si>
  <si>
    <t>ISTR203</t>
  </si>
  <si>
    <t>('MAT1554','K/1','Selasa','08:00 - 09:40','ISTR203'),</t>
  </si>
  <si>
    <t>MAT1542</t>
  </si>
  <si>
    <t>ISTR210</t>
  </si>
  <si>
    <t>('MAT1542','K/1','Selasa','10:00 - 11:40','ISTR210'),</t>
  </si>
  <si>
    <t>MAT1524</t>
  </si>
  <si>
    <t>('MAT1524','K/1','Selasa','13:00 - 14:40','ISTR210'),</t>
  </si>
  <si>
    <t>MAT1556</t>
  </si>
  <si>
    <t>G0012</t>
  </si>
  <si>
    <t>('MAT1556','K/1','Selasa','13:00 - 14:40','G0012'),</t>
  </si>
  <si>
    <t>ISTR209</t>
  </si>
  <si>
    <t>('MAT1232','P/1','Rabu','13:00 - 14:40','ISTR209'),</t>
  </si>
  <si>
    <t>G3RK001.2</t>
  </si>
  <si>
    <t>('MAT1556','P/1','Kamis','08:00 - 09:40','G3RK001.2'),</t>
  </si>
  <si>
    <t>('MAT1554','P/1','Kamis','10:00 - 12:00','ISTR210'),</t>
  </si>
  <si>
    <t>('MAT1542','P/1','Kamis','13:00 - 14:40','ISTR209'),</t>
  </si>
  <si>
    <t>('MAT1524','P/1','Jumat','07:00 - 09:00','ISTR308'),</t>
  </si>
  <si>
    <t>KOM1624</t>
  </si>
  <si>
    <t>('KOM1624','K/1','Senin','08:00 - 09:40','G0003'),</t>
  </si>
  <si>
    <t>KOM1623</t>
  </si>
  <si>
    <t>G3RK001.1</t>
  </si>
  <si>
    <t>('KOM1623','K/1','Senin','10:00 - 12:00','G3RK001.1'),</t>
  </si>
  <si>
    <t>KOM1611</t>
  </si>
  <si>
    <t>('KOM1611','K/1','Senin','13:00 - 15:30','G0016'),</t>
  </si>
  <si>
    <t>KOM1631</t>
  </si>
  <si>
    <t>('KOM1631','K/1','Senin','13:00 - 15:30','G3RK001.3'),</t>
  </si>
  <si>
    <t>('KOM1624','P/1','Selasa','08:00 - 10:00','IPBU0301'),</t>
  </si>
  <si>
    <t>KOM1632</t>
  </si>
  <si>
    <t>('KOM1632','K/1','Selasa','08:00 - 10:00','G3RK001.2'),</t>
  </si>
  <si>
    <t>KOM1634</t>
  </si>
  <si>
    <t>('KOM1634','K/1','Selasa','10:00 - 11:40','IPBU0201'),</t>
  </si>
  <si>
    <t>('KOM1634','P/1','Selasa','15:00 - 17:00','G41KIMIA1'),</t>
  </si>
  <si>
    <t>('KOM1623','P/1','Rabu','13:00 - 15:00','G3RK001.3'),</t>
  </si>
  <si>
    <t>('KOM1632','P/1','Rabu','15:30 - 17:30','G6LAB03'),</t>
  </si>
  <si>
    <t>KOM1622</t>
  </si>
  <si>
    <t>G3RK001.4</t>
  </si>
  <si>
    <t>('KOM1622','K/1','Kamis','08:00 - 09:40','G3RK001.4'),</t>
  </si>
  <si>
    <t>KOM1621</t>
  </si>
  <si>
    <t>('KOM1621','K/1','Kamis','10:00 - 12:00','G0004'),</t>
  </si>
  <si>
    <t>('KOM1621','P/1','Kamis','13:00 - 15:00','G0002'),</t>
  </si>
  <si>
    <t>KOM1503</t>
  </si>
  <si>
    <t>G41KIMIA2</t>
  </si>
  <si>
    <t>('KOM1503','P/1','Kamis','15:30 - 17:30','G41KIMIA2'),</t>
  </si>
  <si>
    <t>('KOM1503','K/1','Jumat','08:00 - 09:40','G3RK001.3'),</t>
  </si>
  <si>
    <t>('KOM1622','P/1','Jumat','13:00 - 15:30','IPBU0302'),</t>
  </si>
  <si>
    <t>G204SEMI</t>
  </si>
  <si>
    <t>('KOM1634','K/2','Jumat','15:30 - 17:10','G204SEMI'),</t>
  </si>
  <si>
    <t>G6SERUNI</t>
  </si>
  <si>
    <t>('KOM1634','P/2','Jumat','17:30 - 19:30','G6SERUNI'),</t>
  </si>
  <si>
    <t>('KOM1503','P/2','Sabtu','15:30 - 16:30','G3RK001.1'),</t>
  </si>
  <si>
    <t>BFS150A</t>
  </si>
  <si>
    <t>('BFS150A','K/1','Senin','08:00 - 08:50','G0007'),</t>
  </si>
  <si>
    <t>BFS1501</t>
  </si>
  <si>
    <t>('BFS1501','P/1','Senin','08:00 - 09:00','G0003'),</t>
  </si>
  <si>
    <t>('BFS150A','P/1','Senin','09:00 - 10:00','G0001'),</t>
  </si>
  <si>
    <t>BFS1506</t>
  </si>
  <si>
    <t>('BFS1506','K/1','Senin','10:00 - 11:40','G0016'),</t>
  </si>
  <si>
    <t>BFS1507</t>
  </si>
  <si>
    <t>('BFS1507','K/1','Senin','13:00 - 14:40','G0004'),</t>
  </si>
  <si>
    <t>BFS1502</t>
  </si>
  <si>
    <t>('BFS1502','K/1','Senin','15:00 - 16:40','G0013'),</t>
  </si>
  <si>
    <t>BFS1503</t>
  </si>
  <si>
    <t>IPBU0203</t>
  </si>
  <si>
    <t>('BFS1503','K/1','Selasa','08:00 - 09:40','IPBU0203'),</t>
  </si>
  <si>
    <t>BFS1504</t>
  </si>
  <si>
    <t>G0011</t>
  </si>
  <si>
    <t>('BFS1504','K/1','Selasa','10:00 - 11:40','G0011'),</t>
  </si>
  <si>
    <t>BFS150D</t>
  </si>
  <si>
    <t>('BFS150D','K/1','Selasa','13:00 - 14:40','G0014'),</t>
  </si>
  <si>
    <t>BFS150I</t>
  </si>
  <si>
    <t>('BFS150I','K/1','Rabu','13:00 - 14:40','IPBU0101'),</t>
  </si>
  <si>
    <t>BFS150B</t>
  </si>
  <si>
    <t>('BFS150B','K/1','Rabu','15:00 - 16:40','G0017'),</t>
  </si>
  <si>
    <t>BFS150G</t>
  </si>
  <si>
    <t>('BFS150G','K/1','Rabu','15:00 - 16:40','G3RK001.1'),</t>
  </si>
  <si>
    <t>('BFS1501','K/1','Kamis','08:00 - 09:40','G41KIMIA2'),</t>
  </si>
  <si>
    <t>BFS1505</t>
  </si>
  <si>
    <t>('BFS1505','K/1','Kamis','13:00 - 14:40','G0017'),</t>
  </si>
  <si>
    <t>BIK1694</t>
  </si>
  <si>
    <t>('BIK1694','P/1','Senin','07:00 - 07:50','G0017'),</t>
  </si>
  <si>
    <t>BIK1505</t>
  </si>
  <si>
    <t>('BIK1505','K/1','Senin','08:00 - 09:40','G0011'),</t>
  </si>
  <si>
    <t>BIK1526</t>
  </si>
  <si>
    <t>('BIK1526','K/1','Senin','13:00 - 15:30','G0011'),</t>
  </si>
  <si>
    <t>BIK695B</t>
  </si>
  <si>
    <t>('BIK695B','P/1','Selasa','07:00 - 07:50','G3RK001.2'),</t>
  </si>
  <si>
    <t>BIK1506</t>
  </si>
  <si>
    <t>('BIK1506','K/1','Selasa','08:00 - 08:50','G0011'),</t>
  </si>
  <si>
    <t>('BIK1506','P/1','Selasa','10:00 - 13:00','G0001'),</t>
  </si>
  <si>
    <t>BIK1532</t>
  </si>
  <si>
    <t>('BIK1532','K/1','Selasa','14:00 - 16:30','G0011'),</t>
  </si>
  <si>
    <t>BIK1695</t>
  </si>
  <si>
    <t>('BIK1695','P/1','Rabu','07:00 - 08:40','G6LAB01'),</t>
  </si>
  <si>
    <t>BIK1612</t>
  </si>
  <si>
    <t>('BIK1612','K/1','Kamis','07:30 - 10:00','G0011'),</t>
  </si>
  <si>
    <t>BIK1502</t>
  </si>
  <si>
    <t>('BIK1502','K/1','Kamis','08:00 - 08:50','G0012'),</t>
  </si>
  <si>
    <t>('BIK1502','P/1','Kamis','09:00 - 13:00','G0016'),</t>
  </si>
  <si>
    <t>BIK1524</t>
  </si>
  <si>
    <t>('BIK1524','K/1','Jumat','08:00 - 10:30','G0011'),</t>
  </si>
  <si>
    <t>BIK1512</t>
  </si>
  <si>
    <t>('BIK1512','K/1','Jumat','08:30 - 11:00','G0016'),</t>
  </si>
  <si>
    <t>BIK1522</t>
  </si>
  <si>
    <t>('BIK1522','K/1','Jumat','13:30 - 16:00','G0016'),</t>
  </si>
  <si>
    <t>PWD1511</t>
  </si>
  <si>
    <t>H5RK0032</t>
  </si>
  <si>
    <t>('PWD1511','K/1','Senin','08:00 - 09:40','H5RK0032'),</t>
  </si>
  <si>
    <t>PWD1500</t>
  </si>
  <si>
    <t>A104401A</t>
  </si>
  <si>
    <t>('PWD1500','K/1','Rabu','08:00 - 10:30','A104401A'),</t>
  </si>
  <si>
    <t>ESL1683</t>
  </si>
  <si>
    <t>H4RK0032</t>
  </si>
  <si>
    <t>('ESL1683','K/1','Kamis','13:00 - 15:30','H4RK0032'),</t>
  </si>
  <si>
    <t>MPD1507</t>
  </si>
  <si>
    <t>IPBW0403</t>
  </si>
  <si>
    <t>('MPD1507','K/1','Selasa','14:00 - 16:00','IPBW0403'),</t>
  </si>
  <si>
    <t>MPD1603</t>
  </si>
  <si>
    <t>('MPD1603','K/1','Rabu','08:00 - 10:00','H5RK0032'),</t>
  </si>
  <si>
    <t>MPD1508</t>
  </si>
  <si>
    <t>IPBW10 FEM</t>
  </si>
  <si>
    <t>('MPD1508','K/1','Rabu','13:00 - 15:00','IPBW10 FEM'),</t>
  </si>
  <si>
    <t>MPD1602</t>
  </si>
  <si>
    <t>H0RK004</t>
  </si>
  <si>
    <t>('MPD1602','K/1','Kamis','08:00 - 10:00','H0RK004'),</t>
  </si>
  <si>
    <t>MPD160A</t>
  </si>
  <si>
    <t>H4RK0031</t>
  </si>
  <si>
    <t>('MPD160A','K/1','Jumat','14:00 - 16:00','H4RK0031'),</t>
  </si>
  <si>
    <t>('MPD1508','K/2','Jumat','19:00 - 21:00','A104401A'),</t>
  </si>
  <si>
    <t>IPBW0402</t>
  </si>
  <si>
    <t>('MPD160A','K/2','Sabtu','08:00 - 10:00','IPBW0402'),</t>
  </si>
  <si>
    <t>H2RK0032</t>
  </si>
  <si>
    <t>('MPD1507','K/2','Sabtu','10:30 - 12:30','H2RK0032'),</t>
  </si>
  <si>
    <t>H2RK0031</t>
  </si>
  <si>
    <t>('MPD1603','K/2','Sabtu','13:30 - 15:30','H2RK0031'),</t>
  </si>
  <si>
    <t>A00000B1</t>
  </si>
  <si>
    <t>('MPD1602','K/2','Sabtu','16:00 - 18:30','A00000B1'),</t>
  </si>
  <si>
    <t>EKO1603</t>
  </si>
  <si>
    <t>('EKO1603','K/1','Selasa','10:00 - 12:00','H5RK0032'),</t>
  </si>
  <si>
    <t>EKO1506</t>
  </si>
  <si>
    <t>LAB-CYBER3</t>
  </si>
  <si>
    <t>('EKO1506','K/1','Selasa','13:30 - 15:30','LAB-CYBER3'),</t>
  </si>
  <si>
    <t>EKO1505</t>
  </si>
  <si>
    <t>H0002</t>
  </si>
  <si>
    <t>('EKO1505','K/1','Rabu','08:00 - 10:00','H0002'),</t>
  </si>
  <si>
    <t>EKO1605</t>
  </si>
  <si>
    <t>H0001</t>
  </si>
  <si>
    <t>('EKO1605','K/1','Rabu','13:00 - 15:00','H0001'),</t>
  </si>
  <si>
    <t>MAN1524</t>
  </si>
  <si>
    <t>H0003</t>
  </si>
  <si>
    <t>('MAN1524','K/1','Senin','08:00 - 09:40','H0003'),</t>
  </si>
  <si>
    <t>MAN150M</t>
  </si>
  <si>
    <t>('MAN150M','K/1','Senin','10:00 - 11:40','H0003'),</t>
  </si>
  <si>
    <t>MAN1526</t>
  </si>
  <si>
    <t>('MAN1526','K/1','Senin','13:00 - 14:40','H0003'),</t>
  </si>
  <si>
    <t>MAN160N</t>
  </si>
  <si>
    <t>H0RK0004</t>
  </si>
  <si>
    <t>('MAN160N','K/1','Senin','13:00 - 15:30','H0RK0004'),</t>
  </si>
  <si>
    <t>MAN1543</t>
  </si>
  <si>
    <t>('MAN1543','K/1','Selasa','08:00 - 09:40','H0003'),</t>
  </si>
  <si>
    <t>MAN1554</t>
  </si>
  <si>
    <t>('MAN1554','K/1','Selasa','08:00 - 09:40','H0003'),</t>
  </si>
  <si>
    <t>MAN1516</t>
  </si>
  <si>
    <t>('MAN1516','K/1','Selasa','10:00 - 11:40','H5RK0032'),</t>
  </si>
  <si>
    <t>MAN1525</t>
  </si>
  <si>
    <t>H5RK0031</t>
  </si>
  <si>
    <t>('MAN1525','K/1','Selasa','10:30 - 12:10','H5RK0031'),</t>
  </si>
  <si>
    <t>MAN1517</t>
  </si>
  <si>
    <t>('MAN1517','K/1','Selasa','13:00 - 14:40','H2RK0032'),</t>
  </si>
  <si>
    <t>MAN1544</t>
  </si>
  <si>
    <t>('MAN1544','K/1','Selasa','13:00 - 14:40','H0003'),</t>
  </si>
  <si>
    <t>MAN1545</t>
  </si>
  <si>
    <t>('MAN1545','K/1','Rabu','08:00 - 09:40','LAB-CYBER3'),</t>
  </si>
  <si>
    <t>MAN1552</t>
  </si>
  <si>
    <t>('MAN1552','K/1','Rabu','08:00 - 09:40','H0003'),</t>
  </si>
  <si>
    <t>MAN1546</t>
  </si>
  <si>
    <t>('MAN1546','K/1','Rabu','13:00 - 14:40','IPBW10 FEM'),</t>
  </si>
  <si>
    <t>MAN1551</t>
  </si>
  <si>
    <t>('MAN1551','K/1','Rabu','13:00 - 14:40','H0003'),</t>
  </si>
  <si>
    <t>MAN1535</t>
  </si>
  <si>
    <t>('MAN1535','K/1','Kamis','08:00 - 09:40','H0003'),</t>
  </si>
  <si>
    <t>MAN1527</t>
  </si>
  <si>
    <t>('MAN1527','K/1','Kamis','10:00 - 11:40','H0003'),</t>
  </si>
  <si>
    <t>MAN1536</t>
  </si>
  <si>
    <t>('MAN1536','K/1','Kamis','10:00 - 11:40','H4RK0032'),</t>
  </si>
  <si>
    <t>MAN1515</t>
  </si>
  <si>
    <t>('MAN1515','K/1','Kamis','13:00 - 14:40','H0RK004'),</t>
  </si>
  <si>
    <t>MAN1533</t>
  </si>
  <si>
    <t>('MAN1533','K/1','Jumat','08:00 - 09:40','H0003'),</t>
  </si>
  <si>
    <t>MAN1553</t>
  </si>
  <si>
    <t>A0430301</t>
  </si>
  <si>
    <t>('MAN1553','K/1','Jumat','08:00 - 09:40','A0430301'),</t>
  </si>
  <si>
    <t>MAN1518</t>
  </si>
  <si>
    <t>('MAN1518','K/1','Jumat','13:30 - 15:10','A104401A'),</t>
  </si>
  <si>
    <t>MAN1534</t>
  </si>
  <si>
    <t>('MAN1534','K/1','Jumat','13:30 - 15:10','IPBW0403'),</t>
  </si>
  <si>
    <t>A042202A</t>
  </si>
  <si>
    <t>('MAN150M','K/2','Jumat','19:00 - 20:40','A042202A'),</t>
  </si>
  <si>
    <t>('MAN1516','K/2','Sabtu','08:00 - 09:40','H0RK004'),</t>
  </si>
  <si>
    <t>('MAN1525','K/2','Sabtu','08:00 - 09:40','H5RK0031'),</t>
  </si>
  <si>
    <t>('MAN1551','K/2','Sabtu','08:00 - 09:40','H0003'),</t>
  </si>
  <si>
    <t>('MAN1517','K/2','Sabtu','10:00 - 11:40','A00000B1'),</t>
  </si>
  <si>
    <t>('MAN1527','K/2','Sabtu','10:00 - 11:40','H0RK004'),</t>
  </si>
  <si>
    <t>('MAN1552','K/2','Sabtu','10:00 - 11:40','H4RK0031'),</t>
  </si>
  <si>
    <t>('MAN1515','K/2','Sabtu','13:00 - 14:40','H0002'),</t>
  </si>
  <si>
    <t>('MAN1526','K/2','Sabtu','13:00 - 14:40','H0003'),</t>
  </si>
  <si>
    <t>('MAN1543','K/2','Sabtu','13:00 - 14:40','H4RK0032'),</t>
  </si>
  <si>
    <t>('MAN1553','K/2','Sabtu','13:00 - 14:40','H0RK004'),</t>
  </si>
  <si>
    <t>('MAN1518','K/2','Sabtu','15:00 - 16:40','H2RK0032'),</t>
  </si>
  <si>
    <t>('MAN1524','K/2','Sabtu','15:00 - 16:40','H4RK0032'),</t>
  </si>
  <si>
    <t>('MAN1535','K/2','Sabtu','15:00 - 16:40','H0003'),</t>
  </si>
  <si>
    <t>A-SEMAGB</t>
  </si>
  <si>
    <t>('MAN1554','K/2','Sabtu','15:00 - 16:40','A-SEMAGB'),</t>
  </si>
  <si>
    <t>AGB1503</t>
  </si>
  <si>
    <t>('AGB1503','K/1','Senin','08:00 - 10:30','H0001'),</t>
  </si>
  <si>
    <t>AGB1622</t>
  </si>
  <si>
    <t>('AGB1622','K/1','Senin','11:00 - 13:30','H0001'),</t>
  </si>
  <si>
    <t>AGB1504</t>
  </si>
  <si>
    <t>('AGB1504','K/1','Selasa','08:00 - 10:30','H0001'),</t>
  </si>
  <si>
    <t>AGB1517</t>
  </si>
  <si>
    <t>('AGB1517','K/2','Selasa','08:00 - 10:30','H0002'),</t>
  </si>
  <si>
    <t>AGB1635</t>
  </si>
  <si>
    <t>('AGB1635','K/1','Selasa','11:00 - 13:30','H0002'),</t>
  </si>
  <si>
    <t>AGB1615</t>
  </si>
  <si>
    <t>('AGB1615','K/1','Selasa','14:00 - 16:30','H0001'),</t>
  </si>
  <si>
    <t>AGB1612</t>
  </si>
  <si>
    <t>('AGB1612','K/1','Rabu','07:30 - 10:00','IPBW0403'),</t>
  </si>
  <si>
    <t>AGB1523</t>
  </si>
  <si>
    <t>('AGB1523','K/1','Rabu','13:00 - 14:40','H0001'),</t>
  </si>
  <si>
    <t>('AGB1523','K/2','Rabu','15:00 - 16:40','H0001'),</t>
  </si>
  <si>
    <t>('AGB1504','K/2','Kamis','08:00 - 10:30','H0001'),</t>
  </si>
  <si>
    <t>('AGB1517','K/1','Kamis','08:00 - 10:30','H0002'),</t>
  </si>
  <si>
    <t>AGB1632</t>
  </si>
  <si>
    <t>('AGB1632','K/1','Kamis','11:00 - 13:30','H0001'),</t>
  </si>
  <si>
    <t>AGB1639</t>
  </si>
  <si>
    <t>('AGB1639','K/1','Kamis','14:00 - 16:30','H0001'),</t>
  </si>
  <si>
    <t>AGB1616</t>
  </si>
  <si>
    <t>('AGB1616','K/1','Jumat','08:00 - 10:30','A00000B1'),</t>
  </si>
  <si>
    <t>AGB1613</t>
  </si>
  <si>
    <t>('AGB1613','K/1','Jumat','13:30 - 16:00','H0001'),</t>
  </si>
  <si>
    <t>ESL1635</t>
  </si>
  <si>
    <t>A104401B</t>
  </si>
  <si>
    <t>('ESL1635','K/1','Selasa','09:00 - 11:30','A104401B'),</t>
  </si>
  <si>
    <t>ESL1626</t>
  </si>
  <si>
    <t>('ESL1626','K/1','Rabu','08:00 - 10:30','A00000B1'),</t>
  </si>
  <si>
    <t>ESL1627</t>
  </si>
  <si>
    <t>IPBW0401</t>
  </si>
  <si>
    <t>('ESL1627','K/1','Kamis','09:00 - 11:30','IPBW0401'),</t>
  </si>
  <si>
    <t>EKO1608</t>
  </si>
  <si>
    <t>('EKO1608','K/2','Selasa','13:00 - 15:40','H4RK0032'),</t>
  </si>
  <si>
    <t>ESL1513</t>
  </si>
  <si>
    <t>('ESL1513','K/1','Selasa','13:00 - 15:45','H0003'),</t>
  </si>
  <si>
    <t>ESL1512</t>
  </si>
  <si>
    <t>('ESL1512','K/1','Rabu','08:00 - 10:40','H4RK0032'),</t>
  </si>
  <si>
    <t>ESL1515</t>
  </si>
  <si>
    <t>('ESL1515','K/1','Rabu','13:00 - 15:45','A042202A'),</t>
  </si>
  <si>
    <t>ESL1518</t>
  </si>
  <si>
    <t>('ESL1518','K/1','Kamis','08:00 - 10:50','A104401A'),</t>
  </si>
  <si>
    <t>ESL1617</t>
  </si>
  <si>
    <t>('ESL1617','K/1','Kamis','13:00 - 15:30','H5RK0031'),</t>
  </si>
  <si>
    <t>ESL1516</t>
  </si>
  <si>
    <t>('ESL1516','K/1','Jumat','08:10 - 10:40','H0RK0004'),</t>
  </si>
  <si>
    <t>EKO1604</t>
  </si>
  <si>
    <t>('EKO1604','K/1','Senin','08:00 - 09:40','IPBW10 FEM'),</t>
  </si>
  <si>
    <t>ESL1602</t>
  </si>
  <si>
    <t>('ESL1602','K/1','Senin','08:00 - 09:40','A104401A'),</t>
  </si>
  <si>
    <t>('ESL1602','P/1','Senin','10:00 - 12:30','A-SEMAGB'),</t>
  </si>
  <si>
    <t>EKO1509</t>
  </si>
  <si>
    <t>('EKO1509','K/1','Senin','10:30 - 12:10','IPBW0402'),</t>
  </si>
  <si>
    <t>ESL1651</t>
  </si>
  <si>
    <t>A042202B</t>
  </si>
  <si>
    <t>('ESL1651','K/1','Selasa','08:00 - 10:00','A042202B'),</t>
  </si>
  <si>
    <t>('ESL1651','P/1','Selasa','10:00 - 12:00','A0430301'),</t>
  </si>
  <si>
    <t>ESL1522</t>
  </si>
  <si>
    <t>('ESL1522','K/1','Rabu','08:00 - 10:00','H0RK004'),</t>
  </si>
  <si>
    <t>ESL1526</t>
  </si>
  <si>
    <t>('ESL1526','K/1','Rabu','09:00 - 11:00','H0RK004'),</t>
  </si>
  <si>
    <t>ESL1652</t>
  </si>
  <si>
    <t>('ESL1652','K/1','Rabu','13:00 - 14:40','A042202A'),</t>
  </si>
  <si>
    <t>('ESL1652','P/1','Rabu','15:00 - 17:00','LAB-CYBER3'),</t>
  </si>
  <si>
    <t>ESL1658</t>
  </si>
  <si>
    <t>('ESL1658','K/1','Kamis','08:00 - 09:40','H0002'),</t>
  </si>
  <si>
    <t>('ESL1658','P/1','Kamis','10:00 - 12:30','IPBW0401'),</t>
  </si>
  <si>
    <t>ESL1653</t>
  </si>
  <si>
    <t>('ESL1653','K/1','Jumat','08:00 - 09:40','H4RK0031'),</t>
  </si>
  <si>
    <t>('ESL1653','P/1','Jumat','10:45 - 11:30','IPBW10 FEM'),</t>
  </si>
  <si>
    <t>GIZ164C</t>
  </si>
  <si>
    <t>I0001</t>
  </si>
  <si>
    <t>('GIZ164C','K/1','Senin','08:00 - 09:40','I0001'),</t>
  </si>
  <si>
    <t>GIZ152C</t>
  </si>
  <si>
    <t>('GIZ152C','K/1','Senin','13:00 - 14:40','I0001'),</t>
  </si>
  <si>
    <t>GIZ154A</t>
  </si>
  <si>
    <t>I0002</t>
  </si>
  <si>
    <t>('GIZ154A','K/1','Selasa','08:00 - 08:50','I0002'),</t>
  </si>
  <si>
    <t>('GIZ154A','P/1','Selasa','09:00 - 12:00','I0001'),</t>
  </si>
  <si>
    <t>GIZ162A</t>
  </si>
  <si>
    <t>('GIZ162A','K/1','Selasa','13:00 - 14:40','I0001'),</t>
  </si>
  <si>
    <t>GIZ160A</t>
  </si>
  <si>
    <t>('GIZ160A','K/1','Rabu','11:00 - 12:40','I0001'),</t>
  </si>
  <si>
    <t>('GIZ160A','P/1','Rabu','13:00 - 16:00','I0001'),</t>
  </si>
  <si>
    <t>GIZ162B</t>
  </si>
  <si>
    <t>('GIZ162B','K/1','Kamis','09:00 - 09:50','I0001'),</t>
  </si>
  <si>
    <t>('GIZ162B','P/1','Kamis','10:00 - 13:00','I0001'),</t>
  </si>
  <si>
    <t>GIZ163A</t>
  </si>
  <si>
    <t>('GIZ163A','K/1','Jumat','07:30 - 08:20','I0001'),</t>
  </si>
  <si>
    <t>('GIZ163A','P/1','Jumat','08:30 - 11:30','I0001'),</t>
  </si>
  <si>
    <t>GIZ151B</t>
  </si>
  <si>
    <t>('GIZ151B','K/1','Jumat','13:00 - 14:40','I0001'),</t>
  </si>
  <si>
    <t>IKK1501</t>
  </si>
  <si>
    <t>I0005</t>
  </si>
  <si>
    <t>('IKK1501','K/1','Senin','10:30 - 12:10','I0005'),</t>
  </si>
  <si>
    <t>('IKK1501','P/1','Senin','13:00 - 15:50','I0005'),</t>
  </si>
  <si>
    <t>IKK1623</t>
  </si>
  <si>
    <t>('IKK1623','K/1','Selasa','08:00 - 08:50','I0005'),</t>
  </si>
  <si>
    <t>('IKK1623','P/1','Selasa','09:00 - 11:50','I0005'),</t>
  </si>
  <si>
    <t>IKK1616</t>
  </si>
  <si>
    <t>('IKK1616','K/1','Selasa','13:00 - 14:40','I0005'),</t>
  </si>
  <si>
    <t>IKK1621</t>
  </si>
  <si>
    <t>('IKK1621','K/1','Rabu','08:00 - 09:40','I0005'),</t>
  </si>
  <si>
    <t>IKK1634</t>
  </si>
  <si>
    <t>('IKK1634','K/1','Rabu','13:00 - 14:40','I0005'),</t>
  </si>
  <si>
    <t>IKK1602</t>
  </si>
  <si>
    <t>('IKK1602','K/1','Kamis','13:00 - 13:50','I0005'),</t>
  </si>
  <si>
    <t>I0003</t>
  </si>
  <si>
    <t>('IKK1602','P/1','Kamis','14:00 - 16:50','I0003'),</t>
  </si>
  <si>
    <t>IKK1603</t>
  </si>
  <si>
    <t>('IKK1603','K/1','Jumat','08:00 - 08:50','I0005'),</t>
  </si>
  <si>
    <t>IKK1617</t>
  </si>
  <si>
    <t>('IKK1617','K/1','Jumat','09:00 - 10:40','I0005'),</t>
  </si>
  <si>
    <t>('IKK1603','P/1','Jumat','13:00 - 15:50','I0005'),</t>
  </si>
  <si>
    <t>KPM1551</t>
  </si>
  <si>
    <t>I.301.21</t>
  </si>
  <si>
    <t>('KPM1551','K/1','Selasa','08:00 - 09:40','I.301.21'),</t>
  </si>
  <si>
    <t>A000GMSK</t>
  </si>
  <si>
    <t>('KPM1551','P/1','Selasa','09:41 - 10:30','A000GMSK'),</t>
  </si>
  <si>
    <t>KPM1656</t>
  </si>
  <si>
    <t>I.301.14</t>
  </si>
  <si>
    <t>('KPM1656','K/1','Selasa','13:00 - 14:40','I.301.14'),</t>
  </si>
  <si>
    <t>I0004</t>
  </si>
  <si>
    <t>('KPM1656','P/1','Selasa','14:41 - 15:30','I0004'),</t>
  </si>
  <si>
    <t>KPM1614</t>
  </si>
  <si>
    <t>I.401.19</t>
  </si>
  <si>
    <t>('KPM1614','K/1','Rabu','13:01 - 14:41','I.401.19'),</t>
  </si>
  <si>
    <t>I.401.07</t>
  </si>
  <si>
    <t>('KPM1614','P/1','Rabu','14:41 - 15:30','I.401.07'),</t>
  </si>
  <si>
    <t>KPM165C</t>
  </si>
  <si>
    <t>I.401.10</t>
  </si>
  <si>
    <t>('KPM165C','K/1','Kamis','08:00 - 09:10','I.401.10'),</t>
  </si>
  <si>
    <t>I.301.04</t>
  </si>
  <si>
    <t>('KPM165C','P/1','Kamis','09:11 - 10:30','I.301.04'),</t>
  </si>
  <si>
    <t>KPM1564</t>
  </si>
  <si>
    <t>I.401.05</t>
  </si>
  <si>
    <t>('KPM1564','K/1','Senin','08:00 - 10:30','I.401.05'),</t>
  </si>
  <si>
    <t>KPM153E</t>
  </si>
  <si>
    <t>I.401.04</t>
  </si>
  <si>
    <t>('KPM153E','K/1','Senin','13:00 - 15:30','I.401.04'),</t>
  </si>
  <si>
    <t>KPM1560</t>
  </si>
  <si>
    <t>I.401.22</t>
  </si>
  <si>
    <t>('KPM1560','K/1','Senin','13:00 - 15:30','I.401.22'),</t>
  </si>
  <si>
    <t>KPM1565</t>
  </si>
  <si>
    <t>I.401.11</t>
  </si>
  <si>
    <t>('KPM1565','K/1','Selasa','08:00 - 10:30','I.401.11'),</t>
  </si>
  <si>
    <t>KPM1575</t>
  </si>
  <si>
    <t>I.401.01</t>
  </si>
  <si>
    <t>('KPM1575','K/1','Selasa','10:30 - 12:10','I.401.01'),</t>
  </si>
  <si>
    <t>KPM153F</t>
  </si>
  <si>
    <t>A011GM11</t>
  </si>
  <si>
    <t>('KPM153F','K/1','Selasa','13:00 - 14:40','A011GM11'),</t>
  </si>
  <si>
    <t>KPM1574</t>
  </si>
  <si>
    <t>('KPM1574','K/1','Selasa','13:00 - 14:40','I0004'),</t>
  </si>
  <si>
    <t>KPM1531</t>
  </si>
  <si>
    <t>I.401.15</t>
  </si>
  <si>
    <t>('KPM1531','K/1','Rabu','08:00 - 09:40','I.401.15'),</t>
  </si>
  <si>
    <t>KPM153G</t>
  </si>
  <si>
    <t>I.501.20</t>
  </si>
  <si>
    <t>('KPM153G','K/1','Rabu','08:00 - 09:40','I.501.20'),</t>
  </si>
  <si>
    <t>('KPM153F','P/1','Rabu','13:00 - 14:40','I.401.01'),</t>
  </si>
  <si>
    <t>KPM1573</t>
  </si>
  <si>
    <t>('KPM1573','K/1','Rabu','13:00 - 14:40','I0004'),</t>
  </si>
  <si>
    <t>('KPM1573','P/1','Rabu','14:41 - 16:21','I0004'),</t>
  </si>
  <si>
    <t>I.301.01</t>
  </si>
  <si>
    <t>('KPM153G','P/2','Kamis','08:00 - 09:40','I.301.01'),</t>
  </si>
  <si>
    <t>KPM1572</t>
  </si>
  <si>
    <t>I.301.12</t>
  </si>
  <si>
    <t>('KPM1572','K/1','Kamis','08:00 - 09:40','I.301.12'),</t>
  </si>
  <si>
    <t>KPM153C</t>
  </si>
  <si>
    <t>I.301.08</t>
  </si>
  <si>
    <t>('KPM153C','K/1','Kamis','13:00 - 15:30','I.301.08'),</t>
  </si>
  <si>
    <t>SBI151A</t>
  </si>
  <si>
    <t>X000RK01</t>
  </si>
  <si>
    <t>('SBI151A','K/1','Senin','08:00 - 09:40','X000RK01'),</t>
  </si>
  <si>
    <t>SBI1539</t>
  </si>
  <si>
    <t>('SBI1539','K/1','Senin','08:00 - 09:40','L0008'),</t>
  </si>
  <si>
    <t>SBI1519</t>
  </si>
  <si>
    <t>ICCR109</t>
  </si>
  <si>
    <t>('SBI1519','K/1','Senin','13:30 - 15:10','ICCR109'),</t>
  </si>
  <si>
    <t>SBI152B</t>
  </si>
  <si>
    <t>E000OR26</t>
  </si>
  <si>
    <t>('SBI152B','K/1','Senin','13:30 - 15:10','E000OR26'),</t>
  </si>
  <si>
    <t>SBI1547</t>
  </si>
  <si>
    <t>ICCR212</t>
  </si>
  <si>
    <t>('SBI1547','K/1','Senin','13:30 - 15:10','ICCR212'),</t>
  </si>
  <si>
    <t>SBI154I</t>
  </si>
  <si>
    <t>('SBI154I','K/1','Senin','13:30 - 15:10','E000OR26'),</t>
  </si>
  <si>
    <t>SBI1527</t>
  </si>
  <si>
    <t>E000OR12</t>
  </si>
  <si>
    <t>('SBI1527','K/2','Senin','19:00 - 20:40','E000OR12'),</t>
  </si>
  <si>
    <t>SBI1529</t>
  </si>
  <si>
    <t>('SBI1529','K/2','Senin','19:00 - 20:40','L0004'),</t>
  </si>
  <si>
    <t>PPS-R302</t>
  </si>
  <si>
    <t>('SBI151A','K/2','Senin','20:40 - 22:10','PPS-R302'),</t>
  </si>
  <si>
    <t>SBI1538</t>
  </si>
  <si>
    <t>GLS3MKDU</t>
  </si>
  <si>
    <t>('SBI1538','K/2','Senin','20:40 - 22:10','GLS3MKDU'),</t>
  </si>
  <si>
    <t>SBI1548</t>
  </si>
  <si>
    <t>ICCR110</t>
  </si>
  <si>
    <t>('SBI1548','K/1','Selasa','08:00 - 09:40','ICCR110'),</t>
  </si>
  <si>
    <t>ICCR208</t>
  </si>
  <si>
    <t>('SBI1527','K/1','Selasa','13:30 - 15:10','ICCR208'),</t>
  </si>
  <si>
    <t>SBI1518</t>
  </si>
  <si>
    <t>TLRKU002</t>
  </si>
  <si>
    <t>('SBI1518','K/2','Selasa','19:00 - 20:40','TLRKU002'),</t>
  </si>
  <si>
    <t>SBI151C</t>
  </si>
  <si>
    <t>TLRKU004</t>
  </si>
  <si>
    <t>('SBI151C','K/1','Selasa','19:00 - 20:40','TLRKU004'),</t>
  </si>
  <si>
    <t>SBI153C</t>
  </si>
  <si>
    <t>E000OR13</t>
  </si>
  <si>
    <t>('SBI153C','K/1','Selasa','19:00 - 20:40','E000OR13'),</t>
  </si>
  <si>
    <t>SBI154A</t>
  </si>
  <si>
    <t>('SBI154A','K/1','Selasa','19:00 - 20:40','L0002'),</t>
  </si>
  <si>
    <t>SBI1528</t>
  </si>
  <si>
    <t>H004REK6</t>
  </si>
  <si>
    <t>('SBI1528','K/2','Selasa','20:40 - 22:10','H004REK6'),</t>
  </si>
  <si>
    <t>H001REK1</t>
  </si>
  <si>
    <t>('SBI1538','K/1','Rabu','13:30 - 15:10','H001REK1'),</t>
  </si>
  <si>
    <t>SBI153A</t>
  </si>
  <si>
    <t>E000OR18</t>
  </si>
  <si>
    <t>('SBI153A','K/1','Rabu','13:30 - 15:10','E000OR18'),</t>
  </si>
  <si>
    <t>E000OR25</t>
  </si>
  <si>
    <t>('SBI1519','K/2','Rabu','19:00 - 20:40','E000OR25'),</t>
  </si>
  <si>
    <t>SBI151B</t>
  </si>
  <si>
    <t>E000OR24</t>
  </si>
  <si>
    <t>('SBI151B','K/1','Rabu','19:00 - 20:40','E000OR24'),</t>
  </si>
  <si>
    <t>SBI153B</t>
  </si>
  <si>
    <t>E000OR01</t>
  </si>
  <si>
    <t>('SBI153B','K/1','Rabu','19:00 - 20:40','E000OR01'),</t>
  </si>
  <si>
    <t>SBI1549</t>
  </si>
  <si>
    <t>E000OR04</t>
  </si>
  <si>
    <t>('SBI1549','K/1','Rabu','19:00 - 20:40','E000OR04'),</t>
  </si>
  <si>
    <t>('SBI1539','K/2','Rabu','20:40 - 22:10','ISTR308'),</t>
  </si>
  <si>
    <t>TPBLKIM2</t>
  </si>
  <si>
    <t>('SBI153A','K/2','Rabu','20:40 - 22:10','TPBLKIM2'),</t>
  </si>
  <si>
    <t>ICCR102</t>
  </si>
  <si>
    <t>('SBI1518','K/1','Kamis','08:00 - 09:40','ICCR102'),</t>
  </si>
  <si>
    <t>SBI152A</t>
  </si>
  <si>
    <t>ICCR107</t>
  </si>
  <si>
    <t>('SBI152A','K/1','Kamis','13:30 - 15:10','ICCR107'),</t>
  </si>
  <si>
    <t>SBI1546</t>
  </si>
  <si>
    <t>TLRKU003</t>
  </si>
  <si>
    <t>('SBI1546','K/1','Kamis','13:30 - 15:10','TLRKU003'),</t>
  </si>
  <si>
    <t>SBI154H</t>
  </si>
  <si>
    <t>E000OR17</t>
  </si>
  <si>
    <t>('SBI154H','K/1','Kamis','13:30 - 15:10','E000OR17'),</t>
  </si>
  <si>
    <t>ICCR105</t>
  </si>
  <si>
    <t>('SBI1538','K/3','Kamis','19:00 - 20:40','ICCR105'),</t>
  </si>
  <si>
    <t>('SBI1548','K/2','Kamis','19:00 - 20:40','ISTR210'),</t>
  </si>
  <si>
    <t>('SBI1528','K/1','Jumat','08:00 - 09:40','ICCR109'),</t>
  </si>
  <si>
    <t>('SBI1529','K/1','Jumat','08:00 - 09:40','E000OR25'),</t>
  </si>
  <si>
    <t>H004REK5</t>
  </si>
  <si>
    <t>('SBI151C','K/2','Jumat','19:00 - 20:40','H004REK5'),</t>
  </si>
  <si>
    <t>ICCR103</t>
  </si>
  <si>
    <t>('SBI1527','K/3','Jumat','19:00 - 20:40','ICCR103'),</t>
  </si>
  <si>
    <t>X000ALSI</t>
  </si>
  <si>
    <t>('SBI1547','K/2','Jumat','19:00 - 20:40','X000ALSI'),</t>
  </si>
  <si>
    <t>SBI154E</t>
  </si>
  <si>
    <t>('SBI154E','K/1','Jumat','19:00 - 20:40','H004REK5'),</t>
  </si>
  <si>
    <t>('SBI154I','K/2','Jumat','19:00 - 20:40','L0003'),</t>
  </si>
  <si>
    <t>PPS1503</t>
  </si>
  <si>
    <t>E000OR29</t>
  </si>
  <si>
    <t>('PPS1503','K/5','Sabtu','07:30 - 10:00','E000OR29'),</t>
  </si>
  <si>
    <t>('SBI1518','K/3','Sabtu','08:00 - 09:40','E000OR12'),</t>
  </si>
  <si>
    <t>ICCR207</t>
  </si>
  <si>
    <t>('SBI1529','K/3','Sabtu','08:00 - 09:40','ICCR207'),</t>
  </si>
  <si>
    <t>('SBI151A','K/3','Sabtu','10:00 - 11:40','ISTR210'),</t>
  </si>
  <si>
    <t>X000AGI1</t>
  </si>
  <si>
    <t>('SBI1528','K/3','Sabtu','10:00 - 11:40','X000AGI1'),</t>
  </si>
  <si>
    <t>E000OR27</t>
  </si>
  <si>
    <t>('SBI1519','K/3','Sabtu','13:30 - 15:10','E000OR27'),</t>
  </si>
  <si>
    <t>E000OR03</t>
  </si>
  <si>
    <t>('SBI151B','K/2','Sabtu','13:30 - 15:10','E000OR03'),</t>
  </si>
  <si>
    <t>ICCR213</t>
  </si>
  <si>
    <t>('SBI1546','K/2','Sabtu','13:30 - 15:10','ICCR213'),</t>
  </si>
  <si>
    <t>SBI154D</t>
  </si>
  <si>
    <t>X000PIP2</t>
  </si>
  <si>
    <t>('SBI154D','K/1','Sabtu','13:30 - 15:10','X000PIP2'),</t>
  </si>
  <si>
    <t>('SBI154H','K/2','Sabtu','13:30 - 15:10','L0007'),</t>
  </si>
  <si>
    <t>X000AGI2</t>
  </si>
  <si>
    <t>('SBI1539','K/3','Sabtu','15:30 - 17:10','X000AGI2'),</t>
  </si>
  <si>
    <t>('SBI153A','K/3','Sabtu','15:30 - 17:10','ISTR201'),</t>
  </si>
  <si>
    <t>BTK1528</t>
  </si>
  <si>
    <t>TLRKU001</t>
  </si>
  <si>
    <t>('BTK1528','K/1','Senin','09:00 - 10:40','TLRKU001'),</t>
  </si>
  <si>
    <t>BTK1502</t>
  </si>
  <si>
    <t>X000AGI3</t>
  </si>
  <si>
    <t>('BTK1502','K/1','Senin','13:00 - 14:30','X000AGI3'),</t>
  </si>
  <si>
    <t>BTK1524</t>
  </si>
  <si>
    <t>E000OR21</t>
  </si>
  <si>
    <t>('BTK1524','K/1','Senin','13:00 - 14:40','E000OR21'),</t>
  </si>
  <si>
    <t>BTK1503</t>
  </si>
  <si>
    <t>H004REK4</t>
  </si>
  <si>
    <t>('BTK1503','K/1','Selasa','08:00 - 09:40','H004REK4'),</t>
  </si>
  <si>
    <t>BTK1523</t>
  </si>
  <si>
    <t>('BTK1523','K/1','Selasa','08:00 - 09:40','ISTR306'),</t>
  </si>
  <si>
    <t>ICCRAUD</t>
  </si>
  <si>
    <t>('BTK1503','P/1','Selasa','10:00 - 12:30','ICCRAUD'),</t>
  </si>
  <si>
    <t>('BTK1524','P/1','Selasa','13:00 - 15:30','E000OR18'),</t>
  </si>
  <si>
    <t>BTK1504</t>
  </si>
  <si>
    <t>E000ORG1</t>
  </si>
  <si>
    <t>('BTK1504','K/1','Rabu','08:00 - 09:40','E000ORG1'),</t>
  </si>
  <si>
    <t>('BTK1504','P/1','Rabu','10:00 - 12:30','ISTR204'),</t>
  </si>
  <si>
    <t>('BTK1523','P/1','Rabu','10:00 - 12:30','X000AGI3'),</t>
  </si>
  <si>
    <t>BTK1501</t>
  </si>
  <si>
    <t>X000RK02</t>
  </si>
  <si>
    <t>('BTK1501','K/1','Rabu','13:00 - 15:40','X000RK02'),</t>
  </si>
  <si>
    <t>BTK1525</t>
  </si>
  <si>
    <t>('BTK1525','K/1','Kamis','08:00 - 09:40','TLRKU001'),</t>
  </si>
  <si>
    <t>('BTK1502','P/1','Kamis','09:00 - 12:30','ISTR307'),</t>
  </si>
  <si>
    <t>('BTK1525','P/1','Kamis','10:00 - 12:30','X000AGI3'),</t>
  </si>
  <si>
    <t>BTK1505</t>
  </si>
  <si>
    <t>H003REK3</t>
  </si>
  <si>
    <t>('BTK1505','K/1','Kamis','13:00 - 14:40','H003REK3'),</t>
  </si>
  <si>
    <t>ICCR204</t>
  </si>
  <si>
    <t>('BTK1505','P/1','Kamis','15:00 - 17:30','ICCR204'),</t>
  </si>
  <si>
    <t>PSL1608</t>
  </si>
  <si>
    <t>('PSL1608','K/1','Senin','08:00 - 08:50','L0004'),</t>
  </si>
  <si>
    <t>('PSL1608','P/1','Senin','09:00 - 12:00','PPS-R302'),</t>
  </si>
  <si>
    <t>PSL1615</t>
  </si>
  <si>
    <t>X000MASJ</t>
  </si>
  <si>
    <t>('PSL1615','K/1','Senin','13:00 - 14:40','X000MASJ'),</t>
  </si>
  <si>
    <t>PSL1636</t>
  </si>
  <si>
    <t>TLRKU005</t>
  </si>
  <si>
    <t>('PSL1636','K/1','Senin','15:00 - 16:40','TLRKU005'),</t>
  </si>
  <si>
    <t>PSL1626</t>
  </si>
  <si>
    <t>('PSL1626','K/1','Selasa','08:00 - 09:00','ICCR212'),</t>
  </si>
  <si>
    <t>PSL1635</t>
  </si>
  <si>
    <t>('PSL1635','K/1','Selasa','08:00 - 09:40','X000AGI1'),</t>
  </si>
  <si>
    <t>('PSL1626','P/1','Selasa','09:00 - 12:00','L0006'),</t>
  </si>
  <si>
    <t>PSL1624</t>
  </si>
  <si>
    <t>E000OR16</t>
  </si>
  <si>
    <t>('PSL1624','K/1','Selasa','13:00 - 13:50','E000OR16'),</t>
  </si>
  <si>
    <t>X001ALSI</t>
  </si>
  <si>
    <t>('PSL1624','P/1','Selasa','14:00 - 17:00','X001ALSI'),</t>
  </si>
  <si>
    <t>PSL1671</t>
  </si>
  <si>
    <t>('PSL1671','K/1','Selasa','15:00 - 15:50','ISTR204'),</t>
  </si>
  <si>
    <t>ICCR201</t>
  </si>
  <si>
    <t>('PSL1671','P/1','Selasa','16:00 - 19:00','ICCR201'),</t>
  </si>
  <si>
    <t>PSL150C</t>
  </si>
  <si>
    <t>('PSL150C','K/1','Rabu','08:00 - 08:50','TLRKU001'),</t>
  </si>
  <si>
    <t>TLRKU007</t>
  </si>
  <si>
    <t>('PSL150C','P/1','Rabu','09:00 - 12:00','TLRKU007'),</t>
  </si>
  <si>
    <t>PSL1616</t>
  </si>
  <si>
    <t>('PSL1616','K/1','Rabu','15:00 - 16:40','TLRKU003'),</t>
  </si>
  <si>
    <t>PSL1672</t>
  </si>
  <si>
    <t>X000PIP1</t>
  </si>
  <si>
    <t>('PSL1672','K/1','Rabu','15:00 - 16:40','X000PIP1'),</t>
  </si>
  <si>
    <t>PSL1673</t>
  </si>
  <si>
    <t>('PSL1673','K/1','Kamis','08:00 - 09:40','E000OR25'),</t>
  </si>
  <si>
    <t>PSL1675</t>
  </si>
  <si>
    <t>('PSL1675','K/1','Kamis','10:01 - 11:41','ISTR204'),</t>
  </si>
  <si>
    <t>PSL1674</t>
  </si>
  <si>
    <t>('PSL1674','K/1','Kamis','13:00 - 13:50','E000OR13'),</t>
  </si>
  <si>
    <t>('PSL1674','P/1','Kamis','14:00 - 17:00','E000OR25'),</t>
  </si>
  <si>
    <t>PSL1632</t>
  </si>
  <si>
    <t>('PSL1632','K/1','Jumat','08:00 - 09:40','H004REK4'),</t>
  </si>
  <si>
    <t>PSL1625</t>
  </si>
  <si>
    <t>('PSL1625','K/1','Jumat','13:00 - 13:50','ICCRAUD'),</t>
  </si>
  <si>
    <t>LOBBYREK</t>
  </si>
  <si>
    <t>('PSL1625','P/1','Jumat','14:00 - 17:00','LOBBYREK'),</t>
  </si>
  <si>
    <t>('PSL150C','P/2','Jumat','19:21 - 22:21','X001ALSI'),</t>
  </si>
  <si>
    <t>('PSL1625','K/2','Sabtu','08:00 - 08:50','ISTR205'),</t>
  </si>
  <si>
    <t>ICCR101</t>
  </si>
  <si>
    <t>('PSL1626','K/2','Sabtu','08:00 - 08:50','ICCR101'),</t>
  </si>
  <si>
    <t>('PSL1615','K/2','Sabtu','08:00 - 09:40','E000OR21'),</t>
  </si>
  <si>
    <t>E000OR19</t>
  </si>
  <si>
    <t>('PSL1632','K/2','Sabtu','08:00 - 09:40','E000OR19'),</t>
  </si>
  <si>
    <t>GLS3MKDU1</t>
  </si>
  <si>
    <t>('PSL1625','P/2','Sabtu','09:00 - 12:00','GLS3MKDU1'),</t>
  </si>
  <si>
    <t>PPS-R405</t>
  </si>
  <si>
    <t>('PSL1626','P/2','Sabtu','09:00 - 12:00','PPS-R405'),</t>
  </si>
  <si>
    <t>PSL1617</t>
  </si>
  <si>
    <t>('PSL1617','K/2','Sabtu','09:45 - 11:25','E000OR01'),</t>
  </si>
  <si>
    <t>('PSL1636','K/2','Sabtu','10:00 - 11:40','X000PIP1'),</t>
  </si>
  <si>
    <t>('PSL1624','K/2','Sabtu','13:00 - 13:50','ICCR105'),</t>
  </si>
  <si>
    <t>('PSL1616','K/2','Sabtu','13:00 - 14:40','E000OR03'),</t>
  </si>
  <si>
    <t>ICCR104</t>
  </si>
  <si>
    <t>('PSL1635','K/2','Sabtu','13:00 - 14:40','ICCR104'),</t>
  </si>
  <si>
    <t>('PSL1624','P/2','Sabtu','14:00 - 17:00','X001ALSI'),</t>
  </si>
  <si>
    <t>PPS-R306</t>
  </si>
  <si>
    <t>('PSL1673','K/2','Sabtu','15:00 - 16:40','PPS-R306'),</t>
  </si>
  <si>
    <t>('PSL1608','K/2','Sabtu','17:00 - 17:50','ISTR211'),</t>
  </si>
  <si>
    <t>E000OR02</t>
  </si>
  <si>
    <t>('PSL1608','P/2','Sabtu','18:30 - 21:30','E000OR02'),</t>
  </si>
  <si>
    <t>MPI1521</t>
  </si>
  <si>
    <t>('MPI1521','K/1','Jumat','18:30 - 20:10','ICCR201'),</t>
  </si>
  <si>
    <t>MPI1504</t>
  </si>
  <si>
    <t>E000OR28</t>
  </si>
  <si>
    <t>('MPI1504','K/1','Jumat','18:30 - 21:10','E000OR28'),</t>
  </si>
  <si>
    <t>MPI1505</t>
  </si>
  <si>
    <t>('MPI1505','K/1','Jumat','18:30 - 21:10','E000OR16'),</t>
  </si>
  <si>
    <t>MPI1541</t>
  </si>
  <si>
    <t>('MPI1541','K/1','Jumat','19:00 - 20:40','ICCR208'),</t>
  </si>
  <si>
    <t>MPI1526</t>
  </si>
  <si>
    <t>('MPI1526','K/1','Jumat','20:20 - 22:00','E000OR01'),</t>
  </si>
  <si>
    <t>MPI1525</t>
  </si>
  <si>
    <t>TPBLFIS1</t>
  </si>
  <si>
    <t>('MPI1525','K/1','Sabtu','08:00 - 09:40','TPBLFIS1'),</t>
  </si>
  <si>
    <t>MPI1502</t>
  </si>
  <si>
    <t>('MPI1502','K/1','Sabtu','08:30 - 11:00','ISTR311'),</t>
  </si>
  <si>
    <t>MPI1503</t>
  </si>
  <si>
    <t>('MPI1503','K/1','Sabtu','08:30 - 11:00','L0004'),</t>
  </si>
  <si>
    <t>MPI1524</t>
  </si>
  <si>
    <t>('MPI1524','K/1','Sabtu','10:00 - 11:40','ISTR308'),</t>
  </si>
  <si>
    <t>MPI1522</t>
  </si>
  <si>
    <t>X-AMARI1</t>
  </si>
  <si>
    <t>('MPI1522','K/1','Sabtu','13:20 - 15:00','X-AMARI1'),</t>
  </si>
  <si>
    <t>MPI1523</t>
  </si>
  <si>
    <t>TPBLBIO2</t>
  </si>
  <si>
    <t>('MPI1523','K/1','Sabtu','15:40 - 17:20','TPBLBIO2'),</t>
  </si>
  <si>
    <t>LOG1601</t>
  </si>
  <si>
    <t>('LOG1601','K/1','Senin','16:00 - 17:40','X000AGI2'),</t>
  </si>
  <si>
    <t>LOG1643</t>
  </si>
  <si>
    <t>ICCR108</t>
  </si>
  <si>
    <t>('LOG1643','K/1','Senin','19:00 - 20:40','ICCR108'),</t>
  </si>
  <si>
    <t>LOG1623</t>
  </si>
  <si>
    <t>E000OR08</t>
  </si>
  <si>
    <t>('LOG1623','K/1','Selasa','16:00 - 17:40','E000OR08'),</t>
  </si>
  <si>
    <t>LOG1631</t>
  </si>
  <si>
    <t>('LOG1631','K/1','Selasa','16:00 - 17:40','E000OR18'),</t>
  </si>
  <si>
    <t>LOG1612</t>
  </si>
  <si>
    <t>('LOG1612','K/1','Selasa','19:00 - 20:40','X001ALSI'),</t>
  </si>
  <si>
    <t>LOG1622</t>
  </si>
  <si>
    <t>E000ORG4</t>
  </si>
  <si>
    <t>('LOG1622','K/1','Selasa','19:00 - 20:40','E000ORG4'),</t>
  </si>
  <si>
    <t>('LOG1612','P/1','Rabu','08:00 - 11:00','L0002'),</t>
  </si>
  <si>
    <t>LOG1641</t>
  </si>
  <si>
    <t>('LOG1641','K/1','Rabu','08:00 - 11:20','PPS-R405'),</t>
  </si>
  <si>
    <t>LOG1613</t>
  </si>
  <si>
    <t>PPS-R403</t>
  </si>
  <si>
    <t>('LOG1613','K/1','Rabu','13:00 - 14:40','PPS-R403'),</t>
  </si>
  <si>
    <t>LOG1642</t>
  </si>
  <si>
    <t>E000OR11</t>
  </si>
  <si>
    <t>('LOG1642','K/1','Rabu','13:00 - 14:40','E000OR11'),</t>
  </si>
  <si>
    <t>('LOG1601','P/1','Rabu','15:00 - 18:00','E000OR29'),</t>
  </si>
  <si>
    <t>LOG1624</t>
  </si>
  <si>
    <t>('LOG1624','K/1','Kamis','08:00 - 09:40','GLS3MKDU1'),</t>
  </si>
  <si>
    <t>LOG1614</t>
  </si>
  <si>
    <t>('LOG1614','P/1','Kamis','08:00 - 11:00','E000OR02'),</t>
  </si>
  <si>
    <t>LOG1611</t>
  </si>
  <si>
    <t>TPBLKIM1</t>
  </si>
  <si>
    <t>('LOG1611','K/1','Kamis','13:00 - 14:40','TPBLKIM1'),</t>
  </si>
  <si>
    <t>LOG1632</t>
  </si>
  <si>
    <t>('LOG1632','K/1','Kamis','13:00 - 14:40','ICCR201'),</t>
  </si>
  <si>
    <t>('LOG1631','P/1','Kamis','16:00 - 19:00','X000AGI2'),</t>
  </si>
  <si>
    <t>LOG1621</t>
  </si>
  <si>
    <t>('LOG1621','K/1','Jumat','08:00 - 09:40','E000OR02'),</t>
  </si>
  <si>
    <t>LOG1625</t>
  </si>
  <si>
    <t>('LOG1625','K/1','Jumat','13:00 - 14:40','ICCR101'),</t>
  </si>
  <si>
    <t>('LOG1642','P/1','Jumat','13:00 - 16:00','X000RK02'),</t>
  </si>
  <si>
    <t>('LOG1611','P/1','Jumat','15:00 - 18:00','ICCR213'),</t>
  </si>
  <si>
    <t>TLRKU006</t>
  </si>
  <si>
    <t>('LOG1632','P/1','Jumat','15:00 - 18:00','TLRKU006'),</t>
  </si>
  <si>
    <t>Kode RG</t>
  </si>
  <si>
    <t>Nama RG</t>
  </si>
  <si>
    <t>Lokasi</t>
  </si>
  <si>
    <t>Kapasitas</t>
  </si>
  <si>
    <t>Wing 20 Level 4 Dept Arsitektur Lanskap</t>
  </si>
  <si>
    <t>RK. Gedung Kuliah A</t>
  </si>
  <si>
    <t>Antara NodeB-D-Exst Ftta, Gedung Faperta</t>
  </si>
  <si>
    <t>RK. OFAC 3 B2 (R. Pinus 1)</t>
  </si>
  <si>
    <t>Antara Node D-E-F / 1 Gedung Faperta</t>
  </si>
  <si>
    <t>RK. OFAC 3 B2 (R. Pinus 2)</t>
  </si>
  <si>
    <t>Antara Node D-E-F / 2 Gedung Faperta</t>
  </si>
  <si>
    <t>RK. OFAC 4 B11</t>
  </si>
  <si>
    <t>Antara Node G-I-J Gedung Faperta</t>
  </si>
  <si>
    <t>RK. OFAC 4 B12</t>
  </si>
  <si>
    <t>Antara Node F-H-I Gedung Faperta</t>
  </si>
  <si>
    <t>RK. B1 - C1</t>
  </si>
  <si>
    <t>Auditorium Bawah Faperta</t>
  </si>
  <si>
    <t>RK. B1 - C2</t>
  </si>
  <si>
    <t>RK. B1 - C3</t>
  </si>
  <si>
    <t>RK. Cikabayan 1</t>
  </si>
  <si>
    <t>Cikabayan 1</t>
  </si>
  <si>
    <t>RK. Cikabayan 2</t>
  </si>
  <si>
    <t>Cikabayan 2</t>
  </si>
  <si>
    <t>RK. Leuwikopo 1</t>
  </si>
  <si>
    <t>Leuwikopo 1</t>
  </si>
  <si>
    <t>RK. Leuwikopo 3</t>
  </si>
  <si>
    <t>Leuwikopo 3</t>
  </si>
  <si>
    <t>RK. 8 AGR 404</t>
  </si>
  <si>
    <t>Wing 8 / 4 Gedung Faperta</t>
  </si>
  <si>
    <t>RK. HPT 301 A-B</t>
  </si>
  <si>
    <t>Wing 6 / 3 Gedung Faperta</t>
  </si>
  <si>
    <t>RK. 8 AGR 307</t>
  </si>
  <si>
    <t>Wing 8 / 3 Gedung Faperta</t>
  </si>
  <si>
    <t>RK. 10 FAK 501 (ex Perpus FEM)</t>
  </si>
  <si>
    <t>Wing 10 / 5 Gedung Faperta</t>
  </si>
  <si>
    <t>RK. 14 FAC 401 A</t>
  </si>
  <si>
    <t>Wing 14 / 4</t>
  </si>
  <si>
    <t>A144401B</t>
  </si>
  <si>
    <t>RK. 14 FAC 401 B</t>
  </si>
  <si>
    <t>RK. 14 FAC 401 C</t>
  </si>
  <si>
    <t>RK. 15 TAN 301 A</t>
  </si>
  <si>
    <t>Wing 15 / 3 Gedung Faperta</t>
  </si>
  <si>
    <t>A153301B</t>
  </si>
  <si>
    <t>RK. 15 TAN 301 B</t>
  </si>
  <si>
    <t>Wing 15 / 3 GEdung Faperta</t>
  </si>
  <si>
    <t>RK. 16 FAC 401 A</t>
  </si>
  <si>
    <t>Wing 16 / 4 Gedung Faperta</t>
  </si>
  <si>
    <t>RK. 16 FAC 401 B</t>
  </si>
  <si>
    <t>Wing 16 / Gedung Faperta</t>
  </si>
  <si>
    <t>RK. 16 FAC 401 C</t>
  </si>
  <si>
    <t>RK. 16 FAC 401 D</t>
  </si>
  <si>
    <t>RK. 16 FAC 401 E</t>
  </si>
  <si>
    <t>Lab. Komputer Faperta</t>
  </si>
  <si>
    <t>Faperta</t>
  </si>
  <si>
    <t>Studio Desain 2 ARL</t>
  </si>
  <si>
    <t>Lab Dept ARL</t>
  </si>
  <si>
    <t>B000BDH</t>
  </si>
  <si>
    <t>RP. Bedah</t>
  </si>
  <si>
    <t>FKH</t>
  </si>
  <si>
    <t>B000FKB1</t>
  </si>
  <si>
    <t>RK. FKH.B1</t>
  </si>
  <si>
    <t>Antara Node C-D Gedung FKH</t>
  </si>
  <si>
    <t>RK FKH.B2</t>
  </si>
  <si>
    <t>RK. FKH.A</t>
  </si>
  <si>
    <t>Antara Node A-C Gedung FKH</t>
  </si>
  <si>
    <t>RP Biomedis</t>
  </si>
  <si>
    <t>R. Moeslihoen-A</t>
  </si>
  <si>
    <t>R. Moeslihoen-B</t>
  </si>
  <si>
    <t>B000MOES-C</t>
  </si>
  <si>
    <t>R. Moeslihoen-C</t>
  </si>
  <si>
    <t>RP. URR</t>
  </si>
  <si>
    <t>B000RURR-B</t>
  </si>
  <si>
    <t>RP. URR-B</t>
  </si>
  <si>
    <t>RP. URR-C</t>
  </si>
  <si>
    <t>Lab. Farmasi-1</t>
  </si>
  <si>
    <t>Lab. Farmasi-2</t>
  </si>
  <si>
    <t>Proto/helmin</t>
  </si>
  <si>
    <t>B013TRPD</t>
  </si>
  <si>
    <t>RP. FKH-1A</t>
  </si>
  <si>
    <t>Wing 1 / 3 FKH</t>
  </si>
  <si>
    <t>RP. FKH-1B</t>
  </si>
  <si>
    <t>RP. FKH-1C</t>
  </si>
  <si>
    <t>RK. RRB.B2</t>
  </si>
  <si>
    <t>RP. Hewan Besar/Kecil</t>
  </si>
  <si>
    <t>Wing 2 / 2 FKH</t>
  </si>
  <si>
    <t>B0220802</t>
  </si>
  <si>
    <t>RP. Hewan Kecil. (PHK)</t>
  </si>
  <si>
    <t>RP. Radiologi</t>
  </si>
  <si>
    <t>B0230805</t>
  </si>
  <si>
    <t>Lab. Patologi Klinik</t>
  </si>
  <si>
    <t>Wing 2 / 3 FKH</t>
  </si>
  <si>
    <t>R. Seminar</t>
  </si>
  <si>
    <t>Wing 2 / 4 FKH</t>
  </si>
  <si>
    <t>RK. KLINIK</t>
  </si>
  <si>
    <t>B043PEPR</t>
  </si>
  <si>
    <t>RP. REPRODUKSI</t>
  </si>
  <si>
    <t>Wing 4 / 3 FKH</t>
  </si>
  <si>
    <t>RK. REPRODUKSI</t>
  </si>
  <si>
    <t>RK. FIFARM</t>
  </si>
  <si>
    <t>Wing 5 / 1 FKH</t>
  </si>
  <si>
    <t>Lab. Kandang He-Lab/RSH</t>
  </si>
  <si>
    <t>RSH</t>
  </si>
  <si>
    <t>RP. FIFARM</t>
  </si>
  <si>
    <t>B051LFIF2</t>
  </si>
  <si>
    <t>RP. FIFARM-2</t>
  </si>
  <si>
    <t>RP. FIFARM-3</t>
  </si>
  <si>
    <t>RK. KITWAN &amp; KESMAVET</t>
  </si>
  <si>
    <t>Wing 6 / 2 FKH</t>
  </si>
  <si>
    <t>B062PKIT</t>
  </si>
  <si>
    <t>RP. Kitwan 1</t>
  </si>
  <si>
    <t>RP. Kitwan 2</t>
  </si>
  <si>
    <t>B072RKPT</t>
  </si>
  <si>
    <t>RK. PARAPAT</t>
  </si>
  <si>
    <t>Wing 7 / 2 FKH</t>
  </si>
  <si>
    <t>RP. Parapat</t>
  </si>
  <si>
    <t>RK. ANATOMI</t>
  </si>
  <si>
    <t>Wing 8 / 3 FKH</t>
  </si>
  <si>
    <t>Lab. Diagnostik (Bag. Penyakit dalam)</t>
  </si>
  <si>
    <t>RK.Parasitologi</t>
  </si>
  <si>
    <t>RS. SIKAR</t>
  </si>
  <si>
    <t>LAB. Cyber Padi</t>
  </si>
  <si>
    <t>Lt.4 FKH</t>
  </si>
  <si>
    <t>Lab. Produktivitas dan Lingkungan Perairan</t>
  </si>
  <si>
    <t>Departemen MSP</t>
  </si>
  <si>
    <t>Lab IPBCC</t>
  </si>
  <si>
    <t>Gedung Perikanan Lantai 5</t>
  </si>
  <si>
    <t>Laboratorium IPBCC</t>
  </si>
  <si>
    <t>C001RKA2</t>
  </si>
  <si>
    <t>RK. A2 FPIK</t>
  </si>
  <si>
    <t>Diantara wing 3, 5, dan 7 / 1 (Fak) FPIK</t>
  </si>
  <si>
    <t>RK. B2</t>
  </si>
  <si>
    <t>Wing 59/ 1 (Fak) FPIK</t>
  </si>
  <si>
    <t>RK. A1</t>
  </si>
  <si>
    <t>Diantara wing 48 dan 7 / 2 (Fak) FPIK</t>
  </si>
  <si>
    <t>RK. B1</t>
  </si>
  <si>
    <t>Diantara wing 12 dan 3 / 2 (Fak) FPIK</t>
  </si>
  <si>
    <t>C012RKC1</t>
  </si>
  <si>
    <t>RK. C1</t>
  </si>
  <si>
    <t>Wing 1/ 2 (Fak) FPIK</t>
  </si>
  <si>
    <t>RK. C2</t>
  </si>
  <si>
    <t>RK. C3</t>
  </si>
  <si>
    <t>Wing 2 / 2 (Fak) FPIK</t>
  </si>
  <si>
    <t>RK. C4</t>
  </si>
  <si>
    <t>RS. IU. / 11.101</t>
  </si>
  <si>
    <t>WING 11/1 (SEI) FPIK</t>
  </si>
  <si>
    <t>RS. IU. / 11.102</t>
  </si>
  <si>
    <t>RS. IU. / 11.104</t>
  </si>
  <si>
    <t>WING 12/3 (BDP)</t>
  </si>
  <si>
    <t>Lab. R. Gambar</t>
  </si>
  <si>
    <t>WING 13/2 (BDP) FPIK</t>
  </si>
  <si>
    <t>RK. P21</t>
  </si>
  <si>
    <t>Wing 16/ 2 (ITK) FPIK</t>
  </si>
  <si>
    <t>RK. P22</t>
  </si>
  <si>
    <t>RK. P23</t>
  </si>
  <si>
    <t>Lab. Genetika Fapet</t>
  </si>
  <si>
    <t>Fapet</t>
  </si>
  <si>
    <t>RK. A1 D Lantai 1</t>
  </si>
  <si>
    <t>Antara Wing 7, 9, dan10 / 1 Fapet</t>
  </si>
  <si>
    <t>D002RA02</t>
  </si>
  <si>
    <t>RK. A2 D Lantai 2</t>
  </si>
  <si>
    <t>Antara Wing 5, 6, dan 8 / 2 Fapet</t>
  </si>
  <si>
    <t>RK. B1 D Lantai 2</t>
  </si>
  <si>
    <t>Antara Wing 3, 4, dan 7 / 2 Fapet</t>
  </si>
  <si>
    <t>RK. B2 D Lantai 2</t>
  </si>
  <si>
    <t>Antara Wing 1, 4, dan 5 / 2 Fapet</t>
  </si>
  <si>
    <t>RK. B3 D Lantai 2</t>
  </si>
  <si>
    <t>Antr Wing 62 Fapet</t>
  </si>
  <si>
    <t>RK. C9-C10 D Lantai 2</t>
  </si>
  <si>
    <t>Wing 6 / 2 Gedung Fapet</t>
  </si>
  <si>
    <t>RK. C11-C12 D Lantai 2</t>
  </si>
  <si>
    <t>RK. C1-C2 D Lantai 1</t>
  </si>
  <si>
    <t>Wing 9 / 1 Gedung Fapet</t>
  </si>
  <si>
    <t>D091RC03</t>
  </si>
  <si>
    <t>RK. C3D Lantai 1</t>
  </si>
  <si>
    <t>RK. C4D Lantai 1</t>
  </si>
  <si>
    <t>RK. C5-C6D Lantai 1</t>
  </si>
  <si>
    <t>Wing 10 / 1 Gedung Fapet</t>
  </si>
  <si>
    <t>RK. C7-C8 D Lantai 1</t>
  </si>
  <si>
    <t>RK. 2 - 401</t>
  </si>
  <si>
    <t>Lab. Teknologi Pakan</t>
  </si>
  <si>
    <t>Fak. Peternakan</t>
  </si>
  <si>
    <t>Lab. Nutrisi Ternak Unggas ( NTU )</t>
  </si>
  <si>
    <t>Lab. Agrostologi</t>
  </si>
  <si>
    <t>Lab. Industri Pakan</t>
  </si>
  <si>
    <t>Lab. Nutrisi Ternak Perah ( NTP )</t>
  </si>
  <si>
    <t>Lab. Nutrisi Ternak Daging dan Kerja</t>
  </si>
  <si>
    <t>D-LAB007</t>
  </si>
  <si>
    <t>Lab. Tek. Hasil Ternak</t>
  </si>
  <si>
    <t>Fak. Peternakan Lt 3</t>
  </si>
  <si>
    <t>Lab. Daging</t>
  </si>
  <si>
    <t>Fak. Peternakan Lt 2</t>
  </si>
  <si>
    <t>Lab. Genetika</t>
  </si>
  <si>
    <t>Lab. Unggas</t>
  </si>
  <si>
    <t>D-LAB011</t>
  </si>
  <si>
    <t>Lab. Domba</t>
  </si>
  <si>
    <t>Lab. Lapang FAPET</t>
  </si>
  <si>
    <t>Lab. Fisiologi (BFM)</t>
  </si>
  <si>
    <t>Lab. produksi Perah</t>
  </si>
  <si>
    <t>D-LAB015</t>
  </si>
  <si>
    <t>Lab. Reproduksi</t>
  </si>
  <si>
    <t>Lab. Reproduksi Ruminansia Besar</t>
  </si>
  <si>
    <t>Lab. Mikrobiologi Nutrisi</t>
  </si>
  <si>
    <t>Ruang Seminar FAPET</t>
  </si>
  <si>
    <t>Fak. Peternakan Lt 4</t>
  </si>
  <si>
    <t>RK. A-4 (Gd. Poleksoshut Lt. 2)</t>
  </si>
  <si>
    <t>ex. Faperikan</t>
  </si>
  <si>
    <t>RK. Audi-1 (Auditorium 1)</t>
  </si>
  <si>
    <t>Gedung Fahutan (EXS Gudang)</t>
  </si>
  <si>
    <t>E000AUD2</t>
  </si>
  <si>
    <t>RK. Audi-2 (Auditorium 2)</t>
  </si>
  <si>
    <t>Gedung ex. Gudang</t>
  </si>
  <si>
    <t>RK. Audi-3 (Auditorium 3)</t>
  </si>
  <si>
    <t>E000AUD4</t>
  </si>
  <si>
    <t>RK. Audi-4 (Auditorium 4)</t>
  </si>
  <si>
    <t>E000AUD5</t>
  </si>
  <si>
    <t>RK.X-Audi (Auditorium 2-3)</t>
  </si>
  <si>
    <t>RK. Darmaga 3A</t>
  </si>
  <si>
    <t>Gedung Rk. Darmaga (ex. Rk. TPB Darmaga)</t>
  </si>
  <si>
    <t>RK. Darmaga 3B</t>
  </si>
  <si>
    <t>E000DA4A</t>
  </si>
  <si>
    <t>RK. Darmaga 4A</t>
  </si>
  <si>
    <t>RK. Darmaga 4B</t>
  </si>
  <si>
    <t>E000DAR1</t>
  </si>
  <si>
    <t>RK. Darmaga 1</t>
  </si>
  <si>
    <t>RK. Darmaga 2</t>
  </si>
  <si>
    <t>E000EKOL</t>
  </si>
  <si>
    <t>Lab. Ekol. Satwa Liar</t>
  </si>
  <si>
    <t>Gedung KSH lantai 1</t>
  </si>
  <si>
    <t>Lab. GPHH 102 (Ergonomi)</t>
  </si>
  <si>
    <t>Gedung GPHH</t>
  </si>
  <si>
    <t>E000G103</t>
  </si>
  <si>
    <t>Lab. GPHH 103 (Permanen Hasil Hutan)</t>
  </si>
  <si>
    <t>E000G104</t>
  </si>
  <si>
    <t>Lab. GPHH 104 (Pemanenan Hasil Hutan)</t>
  </si>
  <si>
    <t>E000G105</t>
  </si>
  <si>
    <t>Lab. GPHH 105 (Pemanenan Hasil Hutan)</t>
  </si>
  <si>
    <t>Lab. Gergaji</t>
  </si>
  <si>
    <t>Gedung Penggergajian</t>
  </si>
  <si>
    <t>E000INVN</t>
  </si>
  <si>
    <t>Lab. Invent.</t>
  </si>
  <si>
    <t>Fahutan</t>
  </si>
  <si>
    <t>E000KIM1</t>
  </si>
  <si>
    <t>Lab. Kimia Kayu</t>
  </si>
  <si>
    <t>E000LBIO</t>
  </si>
  <si>
    <t>Lab. Komputer Biometrika GU 309</t>
  </si>
  <si>
    <t>Gedung Pusat Fahutan</t>
  </si>
  <si>
    <t>E000LPPU</t>
  </si>
  <si>
    <t>Lab. LPPU (Potret Udara)</t>
  </si>
  <si>
    <t>Gedung Foto Udara</t>
  </si>
  <si>
    <t>E000S105</t>
  </si>
  <si>
    <t>Lab. SK 105 (Silvikultur)</t>
  </si>
  <si>
    <t>E000SILVA</t>
  </si>
  <si>
    <t>RK. SILVA PERTAMINA</t>
  </si>
  <si>
    <t>Lab. SSK-1</t>
  </si>
  <si>
    <t>E000SSK2</t>
  </si>
  <si>
    <t>Lab. SSK-2</t>
  </si>
  <si>
    <t>Gd. Fahutan (Sulvikultur)</t>
  </si>
  <si>
    <t>E000X021</t>
  </si>
  <si>
    <t>RK. X.021</t>
  </si>
  <si>
    <t>RK. X.022</t>
  </si>
  <si>
    <t>RK. X.301</t>
  </si>
  <si>
    <t>E000X032</t>
  </si>
  <si>
    <t>RK. X.302</t>
  </si>
  <si>
    <t>E000X033</t>
  </si>
  <si>
    <t>RK. X.303</t>
  </si>
  <si>
    <t>RK. X.304</t>
  </si>
  <si>
    <t>RK. X.305</t>
  </si>
  <si>
    <t>RK. X107</t>
  </si>
  <si>
    <t>RK. baru Fahutan</t>
  </si>
  <si>
    <t>RK. X202</t>
  </si>
  <si>
    <t>RK. Baru Fahutan</t>
  </si>
  <si>
    <t>E000X203</t>
  </si>
  <si>
    <t>RK. X203</t>
  </si>
  <si>
    <t>E001ABT1</t>
  </si>
  <si>
    <t>RK. ABT-1 (Keruing)</t>
  </si>
  <si>
    <t>Lantai 1, Gedung Fahutan</t>
  </si>
  <si>
    <t>E001ABT2</t>
  </si>
  <si>
    <t>RK. ABT-2 (Kapur)</t>
  </si>
  <si>
    <t>Lantai 1</t>
  </si>
  <si>
    <t>E001B101</t>
  </si>
  <si>
    <t>Lab. BK 101 (Pengaruh Hutan )</t>
  </si>
  <si>
    <t>(Gedung Biologi Kehutanan) Lt.1</t>
  </si>
  <si>
    <t>E001B102</t>
  </si>
  <si>
    <t>Lab. BK 102 (Penyakit Hutan)</t>
  </si>
  <si>
    <t>E001B203</t>
  </si>
  <si>
    <t>Lab. BK 203 (Ekologi Hutan)</t>
  </si>
  <si>
    <t>(Gedung Biologi Kehutanan) Lt.2</t>
  </si>
  <si>
    <t>RK. LG 201 (Gd. Geodesi Lt. 2/1)</t>
  </si>
  <si>
    <t>Lantai 2 Fahutan</t>
  </si>
  <si>
    <t>E002L202</t>
  </si>
  <si>
    <t>RK. LG 202 (Geodesi Lt. 2/2)</t>
  </si>
  <si>
    <t>Lantai 2</t>
  </si>
  <si>
    <t>Lab. BK 301 (Kebakaran Hutan)</t>
  </si>
  <si>
    <t>(Gedung Biologi Kehutanan) Lt.3</t>
  </si>
  <si>
    <t>E003B303</t>
  </si>
  <si>
    <t>Lab. BK 303 (Hama Hutan)</t>
  </si>
  <si>
    <t>RK. GU 201</t>
  </si>
  <si>
    <t>Gedung Rk. Dekanat Lt.2 Fahutan</t>
  </si>
  <si>
    <t>Lab. GU 301</t>
  </si>
  <si>
    <t>E01GU301</t>
  </si>
  <si>
    <t>RK. GU 301</t>
  </si>
  <si>
    <t>Gedung Rk. Dekanat Lt.3 Fahutan</t>
  </si>
  <si>
    <t>F0000PAU</t>
  </si>
  <si>
    <t>RK. PAU</t>
  </si>
  <si>
    <t>Lantai 2 Fateta</t>
  </si>
  <si>
    <t>F0000PAU2</t>
  </si>
  <si>
    <t>RK. PAU-INT</t>
  </si>
  <si>
    <t>F0001PAU</t>
  </si>
  <si>
    <t>RK. PAU 01. 1a</t>
  </si>
  <si>
    <t>Lantai 1 Gedung Fateta</t>
  </si>
  <si>
    <t>RK. PAU 01. 1b</t>
  </si>
  <si>
    <t>RK. PAU 02.1</t>
  </si>
  <si>
    <t>Fakultas</t>
  </si>
  <si>
    <t>Lab. mekanika Tanah</t>
  </si>
  <si>
    <t>Dept. SIL</t>
  </si>
  <si>
    <t>AMN</t>
  </si>
  <si>
    <t>F0011010</t>
  </si>
  <si>
    <t>RK. H101</t>
  </si>
  <si>
    <t>Lantai 1(ex Perpustakaan) Gedung Fateta</t>
  </si>
  <si>
    <t>F001102A</t>
  </si>
  <si>
    <t>RK. H102(a)</t>
  </si>
  <si>
    <t>F001102B</t>
  </si>
  <si>
    <t>RK. H102(b)</t>
  </si>
  <si>
    <t>F001102C</t>
  </si>
  <si>
    <t>RK. H102(c)</t>
  </si>
  <si>
    <t>RK. H103</t>
  </si>
  <si>
    <t>RK. H204</t>
  </si>
  <si>
    <t>RK. B102/103</t>
  </si>
  <si>
    <t>Lab. Komputer SIL</t>
  </si>
  <si>
    <t>R.Ketua dan Sekretaris Departemen</t>
  </si>
  <si>
    <t>Gedung FATETA Wing F, Lantai 2</t>
  </si>
  <si>
    <t>F-B2043</t>
  </si>
  <si>
    <t>Ruang Tamu</t>
  </si>
  <si>
    <t>Ruang Sekretariat Departemen</t>
  </si>
  <si>
    <t>F-B2051</t>
  </si>
  <si>
    <t>Ruang Sidang Departemen TIN</t>
  </si>
  <si>
    <t>F-B2052</t>
  </si>
  <si>
    <t>Ruang Perlengkapan</t>
  </si>
  <si>
    <t>F-D201</t>
  </si>
  <si>
    <t>Ruang UPT Akademik</t>
  </si>
  <si>
    <t>Gedung FATETA Wing D Lantai 2</t>
  </si>
  <si>
    <t>Lab. L-1</t>
  </si>
  <si>
    <t>Wing D3</t>
  </si>
  <si>
    <t>Lab. L-2</t>
  </si>
  <si>
    <t>FD410L03</t>
  </si>
  <si>
    <t>Lab. L-3</t>
  </si>
  <si>
    <t>Wing D4</t>
  </si>
  <si>
    <t>Ruang Lab. Teknik Manajemen Lingkungan Industri</t>
  </si>
  <si>
    <t>Gedung FATETA Wing E, Lantai 3</t>
  </si>
  <si>
    <t>Ruang Lab.DIT-1</t>
  </si>
  <si>
    <t>Ruang Lab.DIT-2</t>
  </si>
  <si>
    <t>FE41TIMB</t>
  </si>
  <si>
    <t>Lab. R.Timbang</t>
  </si>
  <si>
    <t>Wing E4</t>
  </si>
  <si>
    <t>Ruang Lab. Pengemasan</t>
  </si>
  <si>
    <t>Gedung FATETA Wing G, Lantai 3</t>
  </si>
  <si>
    <t>F-G303</t>
  </si>
  <si>
    <t>Ruang Lab. Teknologi Proses</t>
  </si>
  <si>
    <t>Ruang Lab. Bioindustri</t>
  </si>
  <si>
    <t>F-G306</t>
  </si>
  <si>
    <t>Ruang Lab. Instrument 2</t>
  </si>
  <si>
    <t>R. Lab. Bisnis dan Aplikasi Industri</t>
  </si>
  <si>
    <t>Gedung FATETA Wing G, Lantai 4</t>
  </si>
  <si>
    <t>R. Dosen (Prof. Ono Suparno dan Dr. Prayoga Suryadarma)</t>
  </si>
  <si>
    <t>R. Dosen (Prof. Suprihatin)</t>
  </si>
  <si>
    <t>R. Dosen (Prof. Ani Suryani dan Dr. Titi Candra Sunarti)</t>
  </si>
  <si>
    <t>F-G407</t>
  </si>
  <si>
    <t>R. Dosen (Dr. Indah Yuliasih, Dr. Purwoko dan Dr. Muslich)</t>
  </si>
  <si>
    <t>F-G409</t>
  </si>
  <si>
    <t>R. Dosen (Dr. Sapta Raharja)</t>
  </si>
  <si>
    <t>R. Dosen (Prof. Sukardi dan Prof. M. Romli)</t>
  </si>
  <si>
    <t>F-G411</t>
  </si>
  <si>
    <t>R. Dosen (Dr. Sugiarto dan Dr. Ade Iskandar)</t>
  </si>
  <si>
    <t>R. Dosen (Prof. Djumali)</t>
  </si>
  <si>
    <t>F-G413</t>
  </si>
  <si>
    <t>R. Dosen (Dr. Endang Warsiki)</t>
  </si>
  <si>
    <t>R. Dosen (Dr. Mulyorini dan Dr. Liesbetini)</t>
  </si>
  <si>
    <t>R. Dosen (Dr. Andes Ismayana)</t>
  </si>
  <si>
    <t>R. Dosen (Dr. M. Yani)</t>
  </si>
  <si>
    <t>R. Dosen (Dr. Taufik Djatna dan Dr. Ika Amalia Kartika)</t>
  </si>
  <si>
    <t>F-G418</t>
  </si>
  <si>
    <t>R. Dosen (Prof. Anas M. Fauzi)</t>
  </si>
  <si>
    <t>F-H202</t>
  </si>
  <si>
    <t>Ruang Sekretariat Pascasarjana TIP</t>
  </si>
  <si>
    <t>Gedung FATETA Wing H, Lantai 2</t>
  </si>
  <si>
    <t>F-H203</t>
  </si>
  <si>
    <t>Ruang CDSAP</t>
  </si>
  <si>
    <t>F-H204</t>
  </si>
  <si>
    <t>Ruang UPT Kepegawaian</t>
  </si>
  <si>
    <t>F-H301</t>
  </si>
  <si>
    <t>Ruang Lab. Pengawasan Mutu</t>
  </si>
  <si>
    <t>Gedung FATETA Wing H, Lantai 3</t>
  </si>
  <si>
    <t>F-H302</t>
  </si>
  <si>
    <t>Ruang Lab. Instrument 1</t>
  </si>
  <si>
    <t>F-H303</t>
  </si>
  <si>
    <t>Ruang Lab. Teknik dan Sistem Idustri</t>
  </si>
  <si>
    <t>F-H401</t>
  </si>
  <si>
    <t>Ruang Lab. Komputer</t>
  </si>
  <si>
    <t>Gedung FATETA Wing H, Lantai 4</t>
  </si>
  <si>
    <t>FSEMPAU</t>
  </si>
  <si>
    <t>RS. PAU</t>
  </si>
  <si>
    <t>Lab. Pengujian Departemen Teknologi Industri Pertanian</t>
  </si>
  <si>
    <t>Fateta</t>
  </si>
  <si>
    <t>IPBF0101</t>
  </si>
  <si>
    <t>RK. V 01 Lantai 1</t>
  </si>
  <si>
    <t>Gedung Baru B</t>
  </si>
  <si>
    <t>RK. V 02 Lantai 1</t>
  </si>
  <si>
    <t>RK. V 02.1</t>
  </si>
  <si>
    <t>Wing Dept SIL Gedung Fateta</t>
  </si>
  <si>
    <t>RK. V 02.2</t>
  </si>
  <si>
    <t>Wing Dept SIL</t>
  </si>
  <si>
    <t>RK. V 02.3</t>
  </si>
  <si>
    <t>Wing Dept SIL Fateta</t>
  </si>
  <si>
    <t>RK. V 03.1</t>
  </si>
  <si>
    <t>IPBF0302</t>
  </si>
  <si>
    <t>RK. V 03.2</t>
  </si>
  <si>
    <t>RK. V 03.3</t>
  </si>
  <si>
    <t>Kampus IPB Darmaga</t>
  </si>
  <si>
    <t>RK. 20 FAC 4</t>
  </si>
  <si>
    <t>Wing 20 / 4 (ILKOM)</t>
  </si>
  <si>
    <t>RK BIO 1.1 Dept Biologi Lantai 1</t>
  </si>
  <si>
    <t>Gedung Biologi Lantai 1</t>
  </si>
  <si>
    <t>RK BIO 1.2, Dept Biologi Lantai 1</t>
  </si>
  <si>
    <t>Rk. Bio.1.3 Dept Biologi Lantai 1</t>
  </si>
  <si>
    <t>Gedung Biologi lantai 1</t>
  </si>
  <si>
    <t>RK. Bio 1.4 Dept Biologi lantai 1</t>
  </si>
  <si>
    <t>RK. KIMIA</t>
  </si>
  <si>
    <t>DEPARTEMEN KIMIA</t>
  </si>
  <si>
    <t>RK. KIMIA2</t>
  </si>
  <si>
    <t>Lab. 1 Kom</t>
  </si>
  <si>
    <t>Departemen Ilkom</t>
  </si>
  <si>
    <t>Lab. 2 Kom</t>
  </si>
  <si>
    <t>Lab. NCC</t>
  </si>
  <si>
    <t>RK. Seruni 2 (Ilkom)</t>
  </si>
  <si>
    <t>Ilkom</t>
  </si>
  <si>
    <t>RK. U 1.01</t>
  </si>
  <si>
    <t>Wing U Lantai 1 Gedung Baru A</t>
  </si>
  <si>
    <t>IPBU0102</t>
  </si>
  <si>
    <t>RK. U 1.02</t>
  </si>
  <si>
    <t>RK. U 2.01</t>
  </si>
  <si>
    <t>Wing U Lantai 2</t>
  </si>
  <si>
    <t>IPBU0202</t>
  </si>
  <si>
    <t>RK. U 2.02</t>
  </si>
  <si>
    <t>RK. U 2.03</t>
  </si>
  <si>
    <t>RK. U 3.01</t>
  </si>
  <si>
    <t>Wing U Lantai 3</t>
  </si>
  <si>
    <t>RK. U 3.02</t>
  </si>
  <si>
    <t>RK. U 3.03</t>
  </si>
  <si>
    <t>RK. Gedung Kuliah B1</t>
  </si>
  <si>
    <t>Lantai 1, ESL-FEM</t>
  </si>
  <si>
    <t>RK. 4 AGB 202A</t>
  </si>
  <si>
    <t>Wing 4 / 2 Gedung Faperta</t>
  </si>
  <si>
    <t>RK. 4 AGB 202B</t>
  </si>
  <si>
    <t>RK. 4 AGB 301</t>
  </si>
  <si>
    <t>Wing 4 / 3 Gedung Faperta</t>
  </si>
  <si>
    <t>RK. ESL 10.401 A (Kenanga A)</t>
  </si>
  <si>
    <t>Wing 10 / 4</t>
  </si>
  <si>
    <t>RK. ESL 10 401 B (Kenanga B)</t>
  </si>
  <si>
    <t>R. Seminar AGB</t>
  </si>
  <si>
    <t>AGB</t>
  </si>
  <si>
    <t>RK FEM 4.01-Gedung Baru FEM Lantai 4</t>
  </si>
  <si>
    <t>Dekanat FEM Gedung Baru Lantai 4</t>
  </si>
  <si>
    <t>RK. Kuliah Lt.4</t>
  </si>
  <si>
    <t>Dekanat FEM</t>
  </si>
  <si>
    <t>RK. FEM 3.01 Gedung Baru FEM Lantai 3</t>
  </si>
  <si>
    <t>Dept. Manajemen Gedung Baru FEM Lantai 3</t>
  </si>
  <si>
    <t>RK FEM 3.02</t>
  </si>
  <si>
    <t>Dept Manajemen Gedung Baru FEM Lantai 3</t>
  </si>
  <si>
    <t>RK FEM 3.03-Gedung Baru FEM Lantai 3</t>
  </si>
  <si>
    <t>Dept ESL Gedung Baru FEM Lantai 3</t>
  </si>
  <si>
    <t>RK FEM 3.04</t>
  </si>
  <si>
    <t>RK. EKS 3.01 Gedung Baru FEM</t>
  </si>
  <si>
    <t>Departemen Ekonomi Syariah Lantai 3 Gedung FEM Baru</t>
  </si>
  <si>
    <t>RK. EKS 3.02 Gedung Baru FEM</t>
  </si>
  <si>
    <t>RK. IPB W 4 4.01</t>
  </si>
  <si>
    <t>Wing W Lantai 4 Gedung FEM Lama</t>
  </si>
  <si>
    <t>RK. IPB W 4 4.02</t>
  </si>
  <si>
    <t>RK. IPB W 4 4.03</t>
  </si>
  <si>
    <t>Ruang Kuliah Eks PS PWD</t>
  </si>
  <si>
    <t>Gedung FEM Lama Wing 10 Lantai 4</t>
  </si>
  <si>
    <t>LAB.CYBER Jagung</t>
  </si>
  <si>
    <t>Lt.2 FEM</t>
  </si>
  <si>
    <t>A000GMKL</t>
  </si>
  <si>
    <t>RK. GM Lecture Hall</t>
  </si>
  <si>
    <t>Departemen GM-Gedung Fema</t>
  </si>
  <si>
    <t>Auditorium Dept GM</t>
  </si>
  <si>
    <t>A000LABP</t>
  </si>
  <si>
    <t>Lab. Pengolahan Pangan</t>
  </si>
  <si>
    <t>GMSK</t>
  </si>
  <si>
    <t>RK. IKK 1-1</t>
  </si>
  <si>
    <t>Departemen IKK Gedung Fema</t>
  </si>
  <si>
    <t>A011GM12</t>
  </si>
  <si>
    <t>RK. IKK 1-2</t>
  </si>
  <si>
    <t>H1GIZ</t>
  </si>
  <si>
    <t>Lecture Hall (LH)</t>
  </si>
  <si>
    <t>Departemen Gizi Masyarakat</t>
  </si>
  <si>
    <t>I.201.01</t>
  </si>
  <si>
    <t>R. Diskusi</t>
  </si>
  <si>
    <t>Gedung FEMA W1 L2</t>
  </si>
  <si>
    <t>I.201.A</t>
  </si>
  <si>
    <t>R. Dosen SKPM (Prof. Joko Susanto)</t>
  </si>
  <si>
    <t>I.201.B</t>
  </si>
  <si>
    <t>R. Dosen SKPM (Prof. Pang Asngari)</t>
  </si>
  <si>
    <t>I.201.C</t>
  </si>
  <si>
    <t>R. Dosen SKPM (Prof. Margono Slamet)</t>
  </si>
  <si>
    <t>I.201.D</t>
  </si>
  <si>
    <t>R. Dosen SKPM (Dr. Soenarmo. MED)</t>
  </si>
  <si>
    <t>R. Dosen SKPM (Dr.Titik Sumarti MC. MS)</t>
  </si>
  <si>
    <t>Gedung FEMA W1 L3</t>
  </si>
  <si>
    <t>I.301.02</t>
  </si>
  <si>
    <t>R. Dosen SKPM (Dr.Ir. Soeryo Adiwibowo, Sohibuddin)</t>
  </si>
  <si>
    <t>I.301.03</t>
  </si>
  <si>
    <t>R. Dosen SKPM (Dr. Nurmala K Panjaitan, MS. DEA)</t>
  </si>
  <si>
    <t>R. Dosen SKPM (Dr. Rilus A Kinseng, MA, Martua Sihaloho MS)</t>
  </si>
  <si>
    <t>I.301.05</t>
  </si>
  <si>
    <t>R. Dosen SKPM (Ratri Virianita, S Sos, Msi, Heru Purwandari SP, Msi)</t>
  </si>
  <si>
    <t>I.301.06</t>
  </si>
  <si>
    <t>R. Dosen SKPM (Dr.Ir. Satyawan Sunito, MA, Ir. Melani A Sunito, MSc)</t>
  </si>
  <si>
    <t>I.301.07</t>
  </si>
  <si>
    <t>R. Jurnal SKPM</t>
  </si>
  <si>
    <t>R. Dosen SKPM (Dr. lala M Kolopaking, MS)</t>
  </si>
  <si>
    <t>I.301.09</t>
  </si>
  <si>
    <t>R. Dosen Purnabakti SKPM</t>
  </si>
  <si>
    <t>I.301.10</t>
  </si>
  <si>
    <t>R. Dosen SKPM (Prof. Dr. Ir. Endriatmo Soetarto, MA)</t>
  </si>
  <si>
    <t>I.301.11</t>
  </si>
  <si>
    <t>R. Dosen SKPM (Dr. Ir. Ninuk Purnaningsih, MS dan DR. Ir. Siti Amanah)</t>
  </si>
  <si>
    <t>R. Dosen SKPM (Dr. Ir. Ekawati S Wahyuni, MA)</t>
  </si>
  <si>
    <t>I.301.13</t>
  </si>
  <si>
    <t>R. Dosen SKPM (Noer fauzi dan Asisten)</t>
  </si>
  <si>
    <t>R. Dosen SKPM (Dr. Ir. Arya H Darmawan, MSc)</t>
  </si>
  <si>
    <t>I.301.16</t>
  </si>
  <si>
    <t>R. Dosen SKPM (Dr. Ir.Amiruddin Saleh dan Asisten)</t>
  </si>
  <si>
    <t>I.301.17</t>
  </si>
  <si>
    <t>R. Dosen SKPM (Ir. Hadiyanto, MS dan Ir. Sutisna Riyanto, MS)</t>
  </si>
  <si>
    <t>I.301.18</t>
  </si>
  <si>
    <t>R. GUDANG A</t>
  </si>
  <si>
    <t>I.301.19</t>
  </si>
  <si>
    <t>Toilet Pria</t>
  </si>
  <si>
    <t>I.301.20</t>
  </si>
  <si>
    <t>R. Toilet Wanita</t>
  </si>
  <si>
    <t>R. Jaga</t>
  </si>
  <si>
    <t>I.301.22</t>
  </si>
  <si>
    <t>R. Dapur</t>
  </si>
  <si>
    <t>I.301.23</t>
  </si>
  <si>
    <t>R. Shaff A</t>
  </si>
  <si>
    <t>I.301.24</t>
  </si>
  <si>
    <t>R. Shaf B</t>
  </si>
  <si>
    <t>I.301.25</t>
  </si>
  <si>
    <t>Koridor</t>
  </si>
  <si>
    <t>I.301.26</t>
  </si>
  <si>
    <t>I.313</t>
  </si>
  <si>
    <t>R. Dosen SKPM (Dr. Ir. Djuara P Lubis, MS)</t>
  </si>
  <si>
    <t>Gedung FEMA W1 L4</t>
  </si>
  <si>
    <t>I.401.02</t>
  </si>
  <si>
    <t>R. Dosen SKPM (Prof. Dr. Ir. Sumardjo, MS)</t>
  </si>
  <si>
    <t>I.401.03</t>
  </si>
  <si>
    <t>R. Dosen SKPM (Dr. Ir. Sarwititi, MS)</t>
  </si>
  <si>
    <t>R. Dosen SKPM (Dr. Ir. Puji Muljono dan Dr. Hamzah)</t>
  </si>
  <si>
    <t>R. Dosen SKPM (Dr. Ir. Saharudin, MS dan Ir. Murdianto)</t>
  </si>
  <si>
    <t>I.401.06</t>
  </si>
  <si>
    <t>R. Dosen SKPM (Prof. Dr. Ir. Aida V itayala Hubeis)</t>
  </si>
  <si>
    <t>R. Dosen SKPM (Dr. Sofyan Sjaf dan Dr. Ir Dwi Sadono, MS)</t>
  </si>
  <si>
    <t>I.401.08</t>
  </si>
  <si>
    <t>R. Dosen SKPM (Ir. Fredian Tonny, MS dan Ir. Iman K Nawireja)</t>
  </si>
  <si>
    <t>I.401.09</t>
  </si>
  <si>
    <t>R. Dosen SKPM (Ir. Nuraiani W Prasodjo, Msi dan Rina Mardiana)</t>
  </si>
  <si>
    <t>R. Dosen SKPM (Dr. Arif Satria, SP, MSi dan Dr. Ir. Ivanovich Agusta, MS)</t>
  </si>
  <si>
    <t>R. Dosen SKPM (Ir. Anna Fatchia dan Ir. Yatri Indah Kusumastuti)</t>
  </si>
  <si>
    <t>I.401.12</t>
  </si>
  <si>
    <t>R. Dosen SKPM (Ir. Sugiah Mughnisyah, MS)</t>
  </si>
  <si>
    <t>I.401.13</t>
  </si>
  <si>
    <t>I.401.16</t>
  </si>
  <si>
    <t>R. GUDANG B</t>
  </si>
  <si>
    <t>I.401.17</t>
  </si>
  <si>
    <t>I.401.18</t>
  </si>
  <si>
    <t>Ruang Jaga</t>
  </si>
  <si>
    <t>I.401.20</t>
  </si>
  <si>
    <t>I.401.21</t>
  </si>
  <si>
    <t>R. Shaff B</t>
  </si>
  <si>
    <t>I.401.23</t>
  </si>
  <si>
    <t>I.401.24</t>
  </si>
  <si>
    <t>Koridor B</t>
  </si>
  <si>
    <t>I.401.25</t>
  </si>
  <si>
    <t>R. HIHASIERA</t>
  </si>
  <si>
    <t>I.414</t>
  </si>
  <si>
    <t>I.501.01</t>
  </si>
  <si>
    <t>R. Kuliah Pasca 501</t>
  </si>
  <si>
    <t>Gedung FEMA W1 L5</t>
  </si>
  <si>
    <t>I.501.02</t>
  </si>
  <si>
    <t>R. Ujian 502</t>
  </si>
  <si>
    <t>I.501.03</t>
  </si>
  <si>
    <t>R. Ujian 503</t>
  </si>
  <si>
    <t>I.501.04</t>
  </si>
  <si>
    <t>R. Sekretariat PS. MPM dam PS. SPD</t>
  </si>
  <si>
    <t>I.501.05</t>
  </si>
  <si>
    <t>R. Sekretariat Ps. PPN dan PS. KMP</t>
  </si>
  <si>
    <t>I.501.06</t>
  </si>
  <si>
    <t>R. Sekretariat PS. S1 KPM</t>
  </si>
  <si>
    <t>I.501.07</t>
  </si>
  <si>
    <t>R. Diskusi Dosen</t>
  </si>
  <si>
    <t>I.501.08</t>
  </si>
  <si>
    <t>R. Sekretaris II</t>
  </si>
  <si>
    <t>I.501.09</t>
  </si>
  <si>
    <t>R. Keuangan</t>
  </si>
  <si>
    <t>I.501.10</t>
  </si>
  <si>
    <t>R. Rapat Program</t>
  </si>
  <si>
    <t>I.501.11</t>
  </si>
  <si>
    <t>R. Sekretaris I</t>
  </si>
  <si>
    <t>I.501.13</t>
  </si>
  <si>
    <t>R. Ketua Departemen</t>
  </si>
  <si>
    <t>I.501.141</t>
  </si>
  <si>
    <t>R. Tunggu</t>
  </si>
  <si>
    <t>I.501.142</t>
  </si>
  <si>
    <t>R. Kepala Tata Usaha</t>
  </si>
  <si>
    <t>I.501.15</t>
  </si>
  <si>
    <t>Koridor dalam</t>
  </si>
  <si>
    <t>I.501.16</t>
  </si>
  <si>
    <t>R. Musholala Wanita</t>
  </si>
  <si>
    <t>I.501.17</t>
  </si>
  <si>
    <t>I.501.181</t>
  </si>
  <si>
    <t>I.501.182</t>
  </si>
  <si>
    <t>I.501.19</t>
  </si>
  <si>
    <t>I.501.21</t>
  </si>
  <si>
    <t>Koridor Luar</t>
  </si>
  <si>
    <t>I.501.22</t>
  </si>
  <si>
    <t>R. Arsip da Sarpras</t>
  </si>
  <si>
    <t>Gymnasium01</t>
  </si>
  <si>
    <t>Gymnasium</t>
  </si>
  <si>
    <t>Gymnasium02</t>
  </si>
  <si>
    <t>Gymnasium03</t>
  </si>
  <si>
    <t>Gymnasium04</t>
  </si>
  <si>
    <t>E000OR05</t>
  </si>
  <si>
    <t>Gymnasium05</t>
  </si>
  <si>
    <t>E000OR06</t>
  </si>
  <si>
    <t>Gymnasium06</t>
  </si>
  <si>
    <t>E000OR07</t>
  </si>
  <si>
    <t>Gymnasium07</t>
  </si>
  <si>
    <t>Gymnasium08</t>
  </si>
  <si>
    <t>E000OR09</t>
  </si>
  <si>
    <t>Gymnasium09</t>
  </si>
  <si>
    <t>E000OR10</t>
  </si>
  <si>
    <t>Gymnasium10</t>
  </si>
  <si>
    <t>Gymnasium11</t>
  </si>
  <si>
    <t>Gymnasium12</t>
  </si>
  <si>
    <t>Gymnasium13</t>
  </si>
  <si>
    <t>E000OR14</t>
  </si>
  <si>
    <t>Gymnasium14</t>
  </si>
  <si>
    <t>E000OR15</t>
  </si>
  <si>
    <t>Gymnasium15</t>
  </si>
  <si>
    <t>Gymnasium16</t>
  </si>
  <si>
    <t>Gymnasium17</t>
  </si>
  <si>
    <t>Gymnasium18</t>
  </si>
  <si>
    <t>Gymnasium19</t>
  </si>
  <si>
    <t>E000OR20</t>
  </si>
  <si>
    <t>Gymnasium20</t>
  </si>
  <si>
    <t>Gymnasium21</t>
  </si>
  <si>
    <t>E000OR22</t>
  </si>
  <si>
    <t>Gymnasium22</t>
  </si>
  <si>
    <t>E000OR23</t>
  </si>
  <si>
    <t>Gymnasium23</t>
  </si>
  <si>
    <t>Gymnasium24</t>
  </si>
  <si>
    <t>Gymnasium25</t>
  </si>
  <si>
    <t>Gymnasium26</t>
  </si>
  <si>
    <t>Gymnasium27</t>
  </si>
  <si>
    <t>Gymnasium28</t>
  </si>
  <si>
    <t>Gymnasium29</t>
  </si>
  <si>
    <t>E000OR30</t>
  </si>
  <si>
    <t>Gymnasium30</t>
  </si>
  <si>
    <t>Gymnasium31</t>
  </si>
  <si>
    <t>Area Gedung Olahraga Baru</t>
  </si>
  <si>
    <t>E000ORG2</t>
  </si>
  <si>
    <t>Gymnasium32</t>
  </si>
  <si>
    <t>E000ORG3</t>
  </si>
  <si>
    <t>Gymnasium33</t>
  </si>
  <si>
    <t>Gymnasium34</t>
  </si>
  <si>
    <t>RK MKDU</t>
  </si>
  <si>
    <t>Gedung LSI Lt. 3</t>
  </si>
  <si>
    <t>RK MKDU 1</t>
  </si>
  <si>
    <t>Gedung LSI Lt. 1</t>
  </si>
  <si>
    <t>GLS3MKDU2</t>
  </si>
  <si>
    <t>RK MKDU 2</t>
  </si>
  <si>
    <t>RK. H (Rek 1)</t>
  </si>
  <si>
    <t>Wing Rektorat Lt. 1</t>
  </si>
  <si>
    <t>H002REK2</t>
  </si>
  <si>
    <t>RK. H (Rek 2)</t>
  </si>
  <si>
    <t>Wing Rektorat Lt. 2</t>
  </si>
  <si>
    <t>RK. H (Rek 3)</t>
  </si>
  <si>
    <t>Wing Rektorat Lt. 4</t>
  </si>
  <si>
    <t>RK. H (Rek 4)</t>
  </si>
  <si>
    <t>RK. H (Rek 5)</t>
  </si>
  <si>
    <t>RK. H (Rek 6)</t>
  </si>
  <si>
    <t>RK. CCR 1.01</t>
  </si>
  <si>
    <t>Gd.Baru Common Class Room Lt. 1</t>
  </si>
  <si>
    <t>RK. CCR 1.02</t>
  </si>
  <si>
    <t>RK. CCR 1.03</t>
  </si>
  <si>
    <t>RK. CCR 1.04</t>
  </si>
  <si>
    <t>RK. CCR 1.05</t>
  </si>
  <si>
    <t>ICCR106</t>
  </si>
  <si>
    <t>RK. CCR 1.06</t>
  </si>
  <si>
    <t>RK. CCR 1.07</t>
  </si>
  <si>
    <t>RK. CCR 1.08</t>
  </si>
  <si>
    <t>RK. CCR 1.09</t>
  </si>
  <si>
    <t>RK. CCR 1.10</t>
  </si>
  <si>
    <t>RK. CCR 2.01</t>
  </si>
  <si>
    <t>Gd.Baru Common Class Room Lt. 2</t>
  </si>
  <si>
    <t>ICCR202</t>
  </si>
  <si>
    <t>RK. CCR 2.02</t>
  </si>
  <si>
    <t>ICCR203</t>
  </si>
  <si>
    <t>RK. CCR 2.03</t>
  </si>
  <si>
    <t>RK. CCR 2.04</t>
  </si>
  <si>
    <t>ICCR205</t>
  </si>
  <si>
    <t>RK. CCR 2.05</t>
  </si>
  <si>
    <t>ICCR206</t>
  </si>
  <si>
    <t>RK. CCR 2.06</t>
  </si>
  <si>
    <t>RK. CCR 2.07</t>
  </si>
  <si>
    <t>RK. CCR 2.08</t>
  </si>
  <si>
    <t>ICCR209</t>
  </si>
  <si>
    <t>RK. CCR 2.09</t>
  </si>
  <si>
    <t>ICCR210</t>
  </si>
  <si>
    <t>RK. CCR 2.10</t>
  </si>
  <si>
    <t>ICCR211</t>
  </si>
  <si>
    <t>RK. CCR 2.11</t>
  </si>
  <si>
    <t>RK. CCR 2.12</t>
  </si>
  <si>
    <t>RK. CCR 2.13</t>
  </si>
  <si>
    <t>ICCR214</t>
  </si>
  <si>
    <t>RK. CCR 2.14</t>
  </si>
  <si>
    <t>ICCR215</t>
  </si>
  <si>
    <t>RK. CCR 2.15</t>
  </si>
  <si>
    <t>ICCR216</t>
  </si>
  <si>
    <t>RK. CCR 2.16</t>
  </si>
  <si>
    <t>Auditorium CCR</t>
  </si>
  <si>
    <t>Gd.Baru TPB</t>
  </si>
  <si>
    <t>LAB-CYBER1</t>
  </si>
  <si>
    <t>LAB.Cyber Singkong</t>
  </si>
  <si>
    <t>Lt 2 Perpustakaan</t>
  </si>
  <si>
    <t>Lobby Rektorat</t>
  </si>
  <si>
    <t>Lobby Rektorat Lt. 2</t>
  </si>
  <si>
    <t>RK. Pasca 302</t>
  </si>
  <si>
    <t>Gedung Pasca Lt.3</t>
  </si>
  <si>
    <t>PPS-R305</t>
  </si>
  <si>
    <t>RK. Pasca 305</t>
  </si>
  <si>
    <t>RK. Pasca 306</t>
  </si>
  <si>
    <t>RK. Pasca 403</t>
  </si>
  <si>
    <t>Gedung Pasca Lt.4</t>
  </si>
  <si>
    <t>RK. Pasca 405</t>
  </si>
  <si>
    <t>RK. Teaching LAB TPB.1.01</t>
  </si>
  <si>
    <t>Teaching Lab Lt.1</t>
  </si>
  <si>
    <t>RK. Teaching LAB TPB.2</t>
  </si>
  <si>
    <t>Teaching Lab Lt.2</t>
  </si>
  <si>
    <t>RK. Teaching LAB TPB.2.1</t>
  </si>
  <si>
    <t>RK. Teaching LAB TPB.2.2</t>
  </si>
  <si>
    <t>RK. Teaching LAB TPB.2.3</t>
  </si>
  <si>
    <t>RK. Teaching LAB TPB.2.4</t>
  </si>
  <si>
    <t>RK. Teaching LAB TPB.2.5</t>
  </si>
  <si>
    <t>TPBKIMO1</t>
  </si>
  <si>
    <t>Lab Kimia - 1</t>
  </si>
  <si>
    <t>Wing R</t>
  </si>
  <si>
    <t>TPBLBIO1</t>
  </si>
  <si>
    <t>Lab Biologi - 1</t>
  </si>
  <si>
    <t>Lab Biologi - 2</t>
  </si>
  <si>
    <t>Lab Fisika - 1</t>
  </si>
  <si>
    <t>TPBLFIS2</t>
  </si>
  <si>
    <t>Lab Fisika - 2</t>
  </si>
  <si>
    <t>Lab Kimia - 2</t>
  </si>
  <si>
    <t>Masjid Al-Hurriyyah</t>
  </si>
  <si>
    <t>IPB Darmaga</t>
  </si>
  <si>
    <t>X000AGI4</t>
  </si>
  <si>
    <t>Auditorium LSI</t>
  </si>
  <si>
    <t>Lantai 1 Gedung Perpustakaan</t>
  </si>
  <si>
    <t>RK. PIP 1 (MID 1)</t>
  </si>
  <si>
    <t>Perpustakaan Lt 1</t>
  </si>
  <si>
    <t>RK. PIP 2 (MID 2)</t>
  </si>
  <si>
    <t>RK. Wisma Pinus 1</t>
  </si>
  <si>
    <t>Depan GOR Lama</t>
  </si>
  <si>
    <t>RK. Wisma Pinus 2</t>
  </si>
  <si>
    <t>Fakultas Pertanian/Sylvalestrasi, Depan GOR Lama</t>
  </si>
  <si>
    <t>X000RK03</t>
  </si>
  <si>
    <t>RK. Wisma Pinus 3</t>
  </si>
  <si>
    <t>RK. Perpustakaan</t>
  </si>
  <si>
    <t>Perpustakaan IPB Lt.4 dekat Cyber Singkong</t>
  </si>
  <si>
    <t>RK. Eks. Asrama Silvasari 1</t>
  </si>
  <si>
    <t>X-AMARI2</t>
  </si>
  <si>
    <t>RK. Eks. Asrama Silvasari 2</t>
  </si>
  <si>
    <t>Gedung Fakultas Kedokteran lantai 2</t>
  </si>
  <si>
    <t>Gedung Fakultas Kedokteran lantai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</si>
</sst>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b/>
      <sz val="10"/>
      <color theme="1"/>
      <name val="Arial"/>
      <scheme val="minor"/>
    </font>
    <font>
      <sz val="12"/>
      <color rgb="FF000000"/>
      <name val="Calibri"/>
    </font>
    <font>
      <sz val="11"/>
      <color rgb="FF000000"/>
      <name val="Inconsolata"/>
    </font>
    <font>
      <sz val="10"/>
      <color theme="1"/>
      <name val="Arial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1F1DA"/>
        <bgColor rgb="FFD1F1DA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5" fillId="0" borderId="1" xfId="0" applyFont="1" applyBorder="1"/>
    <xf numFmtId="0" fontId="8" fillId="0" borderId="1" xfId="0" applyFont="1" applyBorder="1"/>
    <xf numFmtId="16" fontId="7" fillId="0" borderId="1" xfId="0" applyNumberFormat="1" applyFont="1" applyBorder="1" applyAlignment="1">
      <alignment horizontal="left"/>
    </xf>
    <xf numFmtId="0" fontId="4" fillId="3" borderId="1" xfId="0" applyFont="1" applyFill="1" applyBorder="1"/>
    <xf numFmtId="0" fontId="5" fillId="0" borderId="2" xfId="0" applyFont="1" applyBorder="1"/>
    <xf numFmtId="0" fontId="7" fillId="0" borderId="2" xfId="0" applyFont="1" applyBorder="1"/>
    <xf numFmtId="0" fontId="7" fillId="0" borderId="0" xfId="0" applyFont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3" xfId="0" applyFont="1" applyBorder="1"/>
    <xf numFmtId="0" fontId="8" fillId="0" borderId="3" xfId="0" applyFont="1" applyBorder="1"/>
    <xf numFmtId="0" fontId="7" fillId="0" borderId="3" xfId="0" applyFont="1" applyBorder="1"/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0" fillId="0" borderId="0" xfId="0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10" fillId="0" borderId="3" xfId="0" applyFont="1" applyBorder="1"/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2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5">
    <tableStyle name="Prodi (fix)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Fakultas (fix)-style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Mata Kuliah (fix)-style" pivot="0" count="3" xr9:uid="{00000000-0011-0000-FFFF-FFFF02000000}">
      <tableStyleElement type="headerRow" dxfId="22"/>
      <tableStyleElement type="firstRowStripe" dxfId="21"/>
      <tableStyleElement type="secondRowStripe" dxfId="20"/>
    </tableStyle>
    <tableStyle name="Jadwal Kuliah (fix)-style" pivot="0" count="3" xr9:uid="{00000000-0011-0000-FFFF-FFFF03000000}">
      <tableStyleElement type="headerRow" dxfId="19"/>
      <tableStyleElement type="firstRowStripe" dxfId="18"/>
      <tableStyleElement type="secondRowStripe" dxfId="17"/>
    </tableStyle>
    <tableStyle name="Jadwal Kuliah (copy)-style" pivot="0" count="2" xr9:uid="{00000000-0011-0000-FFFF-FFFF04000000}"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_5" displayName="Table_5" ref="A1:G1094" headerRowCount="0" headerRowDxfId="12" totalsRowDxfId="10" tableBorderDxfId="11">
  <tableColumns count="7">
    <tableColumn id="1" xr3:uid="{00000000-0010-0000-0000-000001000000}" name="Column1" dataDxfId="9"/>
    <tableColumn id="2" xr3:uid="{00000000-0010-0000-0000-000002000000}" name="Column2" dataDxfId="8"/>
    <tableColumn id="3" xr3:uid="{00000000-0010-0000-0000-000003000000}" name="Column3" dataDxfId="7"/>
    <tableColumn id="4" xr3:uid="{00000000-0010-0000-0000-000004000000}" name="Column4" dataDxfId="6"/>
    <tableColumn id="5" xr3:uid="{00000000-0010-0000-0000-000005000000}" name="Column5" dataDxfId="5"/>
    <tableColumn id="6" xr3:uid="{00000000-0010-0000-0000-000006000000}" name="Column6" dataDxfId="4"/>
    <tableColumn id="7" xr3:uid="{00000000-0010-0000-0000-000007000000}" name="Column7" dataDxfId="3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8909C"/>
    <outlinePr summaryBelow="0" summaryRight="0"/>
  </sheetPr>
  <dimension ref="A1:AA1095"/>
  <sheetViews>
    <sheetView workbookViewId="0">
      <pane ySplit="1" topLeftCell="A2" activePane="bottomLeft" state="frozen"/>
      <selection pane="bottomLeft" activeCell="D11" sqref="D11"/>
    </sheetView>
  </sheetViews>
  <sheetFormatPr defaultColWidth="12.6328125" defaultRowHeight="15.75" customHeight="1" x14ac:dyDescent="0.25"/>
  <cols>
    <col min="1" max="1" width="32.90625" customWidth="1"/>
    <col min="2" max="2" width="6.90625" customWidth="1"/>
    <col min="4" max="4" width="39" customWidth="1"/>
    <col min="5" max="5" width="9.90625" customWidth="1"/>
    <col min="6" max="6" width="20" customWidth="1"/>
    <col min="7" max="7" width="18.08984375" customWidth="1"/>
    <col min="8" max="8" width="16.08984375" customWidth="1"/>
    <col min="9" max="9" width="9.90625" customWidth="1"/>
    <col min="10" max="10" width="8.6328125" customWidth="1"/>
    <col min="11" max="11" width="9.90625" customWidth="1"/>
    <col min="12" max="12" width="30.453125" customWidth="1"/>
  </cols>
  <sheetData>
    <row r="1" spans="1:2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4"/>
      <c r="N1" s="4"/>
      <c r="O1" s="4" t="s">
        <v>11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35">
      <c r="A2" s="5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5"/>
      <c r="G2" s="5" t="s">
        <v>17</v>
      </c>
      <c r="H2" s="6">
        <v>0</v>
      </c>
      <c r="I2" s="5" t="s">
        <v>18</v>
      </c>
      <c r="J2" s="6">
        <v>2</v>
      </c>
      <c r="K2" s="7" t="str">
        <f t="shared" ref="K2:K256" si="0">LEFT(A2,4)</f>
        <v>A151</v>
      </c>
      <c r="L2" s="8"/>
      <c r="M2" s="9" t="str">
        <f t="shared" ref="M2:M256" si="1">LEFT(D2,7)</f>
        <v>TNH1503</v>
      </c>
      <c r="N2" s="9">
        <f t="shared" ref="N2:N256" si="2">LEN(TRIM(M2))</f>
        <v>7</v>
      </c>
      <c r="O2" s="9" t="str">
        <f t="shared" ref="O2:O256" si="3">E2&amp;LEFT(D2,7)</f>
        <v>K/1TNH1503</v>
      </c>
    </row>
    <row r="3" spans="1:27" ht="15.75" customHeight="1" x14ac:dyDescent="0.35">
      <c r="A3" s="10" t="s">
        <v>12</v>
      </c>
      <c r="B3" s="10" t="s">
        <v>13</v>
      </c>
      <c r="C3" s="10" t="s">
        <v>19</v>
      </c>
      <c r="D3" s="10" t="s">
        <v>20</v>
      </c>
      <c r="E3" s="11" t="s">
        <v>16</v>
      </c>
      <c r="F3" s="10" t="s">
        <v>21</v>
      </c>
      <c r="G3" s="10" t="s">
        <v>17</v>
      </c>
      <c r="H3" s="11">
        <v>0</v>
      </c>
      <c r="I3" s="10" t="s">
        <v>22</v>
      </c>
      <c r="J3" s="11">
        <v>2</v>
      </c>
      <c r="K3" s="7" t="str">
        <f t="shared" si="0"/>
        <v>A151</v>
      </c>
      <c r="L3" s="8"/>
      <c r="M3" s="9" t="str">
        <f t="shared" si="1"/>
        <v>TNH1602</v>
      </c>
      <c r="N3" s="9">
        <f t="shared" si="2"/>
        <v>7</v>
      </c>
      <c r="O3" s="9" t="str">
        <f t="shared" si="3"/>
        <v>K/1TNH1602</v>
      </c>
    </row>
    <row r="4" spans="1:27" ht="15.75" customHeight="1" x14ac:dyDescent="0.35">
      <c r="A4" s="5" t="s">
        <v>12</v>
      </c>
      <c r="B4" s="5" t="s">
        <v>13</v>
      </c>
      <c r="C4" s="5" t="s">
        <v>23</v>
      </c>
      <c r="D4" s="5" t="s">
        <v>24</v>
      </c>
      <c r="E4" s="6" t="s">
        <v>16</v>
      </c>
      <c r="F4" s="5"/>
      <c r="G4" s="5" t="s">
        <v>17</v>
      </c>
      <c r="H4" s="6">
        <v>0</v>
      </c>
      <c r="I4" s="5" t="s">
        <v>18</v>
      </c>
      <c r="J4" s="6">
        <v>2</v>
      </c>
      <c r="K4" s="7" t="str">
        <f t="shared" si="0"/>
        <v>A151</v>
      </c>
      <c r="L4" s="8"/>
      <c r="M4" s="9" t="str">
        <f t="shared" si="1"/>
        <v>TNH1605</v>
      </c>
      <c r="N4" s="9">
        <f t="shared" si="2"/>
        <v>7</v>
      </c>
      <c r="O4" s="9" t="str">
        <f t="shared" si="3"/>
        <v>K/1TNH1605</v>
      </c>
    </row>
    <row r="5" spans="1:27" ht="15.75" customHeight="1" x14ac:dyDescent="0.35">
      <c r="A5" s="10" t="s">
        <v>12</v>
      </c>
      <c r="B5" s="10" t="s">
        <v>13</v>
      </c>
      <c r="C5" s="10" t="s">
        <v>25</v>
      </c>
      <c r="D5" s="10" t="s">
        <v>26</v>
      </c>
      <c r="E5" s="11" t="s">
        <v>16</v>
      </c>
      <c r="F5" s="10" t="s">
        <v>27</v>
      </c>
      <c r="G5" s="10" t="s">
        <v>17</v>
      </c>
      <c r="H5" s="11">
        <v>0</v>
      </c>
      <c r="I5" s="10" t="s">
        <v>22</v>
      </c>
      <c r="J5" s="11">
        <v>2</v>
      </c>
      <c r="K5" s="7" t="str">
        <f t="shared" si="0"/>
        <v>A151</v>
      </c>
      <c r="L5" s="8"/>
      <c r="M5" s="9" t="str">
        <f t="shared" si="1"/>
        <v>PWL1607</v>
      </c>
      <c r="N5" s="9">
        <f t="shared" si="2"/>
        <v>7</v>
      </c>
      <c r="O5" s="9" t="str">
        <f t="shared" si="3"/>
        <v>K/1PWL1607</v>
      </c>
    </row>
    <row r="6" spans="1:27" ht="15.75" customHeight="1" x14ac:dyDescent="0.35">
      <c r="A6" s="5" t="s">
        <v>12</v>
      </c>
      <c r="B6" s="5" t="s">
        <v>13</v>
      </c>
      <c r="C6" s="5" t="s">
        <v>28</v>
      </c>
      <c r="D6" s="5" t="s">
        <v>29</v>
      </c>
      <c r="E6" s="6" t="s">
        <v>16</v>
      </c>
      <c r="F6" s="5" t="s">
        <v>30</v>
      </c>
      <c r="G6" s="5" t="s">
        <v>17</v>
      </c>
      <c r="H6" s="6">
        <v>0</v>
      </c>
      <c r="I6" s="5" t="s">
        <v>18</v>
      </c>
      <c r="J6" s="6">
        <v>2</v>
      </c>
      <c r="K6" s="7" t="str">
        <f t="shared" si="0"/>
        <v>A151</v>
      </c>
      <c r="L6" s="8"/>
      <c r="M6" s="9" t="str">
        <f t="shared" si="1"/>
        <v>TNH1601</v>
      </c>
      <c r="N6" s="9">
        <f t="shared" si="2"/>
        <v>7</v>
      </c>
      <c r="O6" s="9" t="str">
        <f t="shared" si="3"/>
        <v>K/1TNH1601</v>
      </c>
    </row>
    <row r="7" spans="1:27" ht="15.75" customHeight="1" x14ac:dyDescent="0.35">
      <c r="A7" s="10" t="s">
        <v>12</v>
      </c>
      <c r="B7" s="10" t="s">
        <v>31</v>
      </c>
      <c r="C7" s="10" t="s">
        <v>14</v>
      </c>
      <c r="D7" s="10" t="s">
        <v>32</v>
      </c>
      <c r="E7" s="11" t="s">
        <v>16</v>
      </c>
      <c r="F7" s="10" t="s">
        <v>33</v>
      </c>
      <c r="G7" s="10" t="s">
        <v>17</v>
      </c>
      <c r="H7" s="11">
        <v>0</v>
      </c>
      <c r="I7" s="10" t="s">
        <v>18</v>
      </c>
      <c r="J7" s="11">
        <v>2</v>
      </c>
      <c r="K7" s="7" t="str">
        <f t="shared" si="0"/>
        <v>A151</v>
      </c>
      <c r="L7" s="8"/>
      <c r="M7" s="9" t="str">
        <f t="shared" si="1"/>
        <v>TNH1511</v>
      </c>
      <c r="N7" s="9">
        <f t="shared" si="2"/>
        <v>7</v>
      </c>
      <c r="O7" s="9" t="str">
        <f t="shared" si="3"/>
        <v>K/1TNH1511</v>
      </c>
    </row>
    <row r="8" spans="1:27" ht="15.75" customHeight="1" x14ac:dyDescent="0.35">
      <c r="A8" s="5" t="s">
        <v>12</v>
      </c>
      <c r="B8" s="5" t="s">
        <v>31</v>
      </c>
      <c r="C8" s="5" t="s">
        <v>25</v>
      </c>
      <c r="D8" s="5" t="s">
        <v>34</v>
      </c>
      <c r="E8" s="6" t="s">
        <v>16</v>
      </c>
      <c r="F8" s="5" t="s">
        <v>35</v>
      </c>
      <c r="G8" s="5" t="s">
        <v>17</v>
      </c>
      <c r="H8" s="6">
        <v>0</v>
      </c>
      <c r="I8" s="5" t="s">
        <v>18</v>
      </c>
      <c r="J8" s="6">
        <v>2</v>
      </c>
      <c r="K8" s="7" t="str">
        <f t="shared" si="0"/>
        <v>A151</v>
      </c>
      <c r="L8" s="8"/>
      <c r="M8" s="9" t="str">
        <f t="shared" si="1"/>
        <v>TNH1522</v>
      </c>
      <c r="N8" s="9">
        <f t="shared" si="2"/>
        <v>7</v>
      </c>
      <c r="O8" s="9" t="str">
        <f t="shared" si="3"/>
        <v>K/1TNH1522</v>
      </c>
    </row>
    <row r="9" spans="1:27" ht="15.75" customHeight="1" x14ac:dyDescent="0.35">
      <c r="A9" s="10" t="s">
        <v>12</v>
      </c>
      <c r="B9" s="10" t="s">
        <v>31</v>
      </c>
      <c r="C9" s="10" t="s">
        <v>36</v>
      </c>
      <c r="D9" s="10" t="s">
        <v>37</v>
      </c>
      <c r="E9" s="11" t="s">
        <v>16</v>
      </c>
      <c r="F9" s="10"/>
      <c r="G9" s="10" t="s">
        <v>17</v>
      </c>
      <c r="H9" s="11">
        <v>0</v>
      </c>
      <c r="I9" s="10" t="s">
        <v>18</v>
      </c>
      <c r="J9" s="11">
        <v>2</v>
      </c>
      <c r="K9" s="7" t="str">
        <f t="shared" si="0"/>
        <v>A151</v>
      </c>
      <c r="L9" s="8"/>
      <c r="M9" s="9" t="str">
        <f t="shared" si="1"/>
        <v>TNH1606</v>
      </c>
      <c r="N9" s="9">
        <f t="shared" si="2"/>
        <v>7</v>
      </c>
      <c r="O9" s="9" t="str">
        <f t="shared" si="3"/>
        <v>K/1TNH1606</v>
      </c>
    </row>
    <row r="10" spans="1:27" ht="15.75" customHeight="1" x14ac:dyDescent="0.35">
      <c r="A10" s="5" t="s">
        <v>12</v>
      </c>
      <c r="B10" s="5" t="s">
        <v>31</v>
      </c>
      <c r="C10" s="5" t="s">
        <v>38</v>
      </c>
      <c r="D10" s="5" t="s">
        <v>39</v>
      </c>
      <c r="E10" s="6" t="s">
        <v>16</v>
      </c>
      <c r="F10" s="5" t="s">
        <v>40</v>
      </c>
      <c r="G10" s="5" t="s">
        <v>17</v>
      </c>
      <c r="H10" s="6">
        <v>0</v>
      </c>
      <c r="I10" s="5" t="s">
        <v>18</v>
      </c>
      <c r="J10" s="6">
        <v>2</v>
      </c>
      <c r="K10" s="7" t="str">
        <f t="shared" si="0"/>
        <v>A151</v>
      </c>
      <c r="L10" s="8"/>
      <c r="M10" s="9" t="str">
        <f t="shared" si="1"/>
        <v>TNH1612</v>
      </c>
      <c r="N10" s="9">
        <f t="shared" si="2"/>
        <v>7</v>
      </c>
      <c r="O10" s="9" t="str">
        <f t="shared" si="3"/>
        <v>K/1TNH1612</v>
      </c>
    </row>
    <row r="11" spans="1:27" ht="15.75" customHeight="1" x14ac:dyDescent="0.35">
      <c r="A11" s="10" t="s">
        <v>12</v>
      </c>
      <c r="B11" s="10" t="s">
        <v>41</v>
      </c>
      <c r="C11" s="10" t="s">
        <v>42</v>
      </c>
      <c r="D11" s="10" t="s">
        <v>43</v>
      </c>
      <c r="E11" s="11" t="s">
        <v>16</v>
      </c>
      <c r="F11" s="10" t="s">
        <v>44</v>
      </c>
      <c r="G11" s="10" t="s">
        <v>17</v>
      </c>
      <c r="H11" s="11">
        <v>0</v>
      </c>
      <c r="I11" s="10" t="s">
        <v>18</v>
      </c>
      <c r="J11" s="11">
        <v>2</v>
      </c>
      <c r="K11" s="7" t="str">
        <f t="shared" si="0"/>
        <v>A151</v>
      </c>
      <c r="L11" s="8"/>
      <c r="M11" s="9" t="str">
        <f t="shared" si="1"/>
        <v>TNH1632</v>
      </c>
      <c r="N11" s="9">
        <f t="shared" si="2"/>
        <v>7</v>
      </c>
      <c r="O11" s="9" t="str">
        <f t="shared" si="3"/>
        <v>K/1TNH1632</v>
      </c>
    </row>
    <row r="12" spans="1:27" ht="15.75" customHeight="1" x14ac:dyDescent="0.35">
      <c r="A12" s="5" t="s">
        <v>12</v>
      </c>
      <c r="B12" s="5" t="s">
        <v>41</v>
      </c>
      <c r="C12" s="5" t="s">
        <v>36</v>
      </c>
      <c r="D12" s="5" t="s">
        <v>45</v>
      </c>
      <c r="E12" s="6" t="s">
        <v>16</v>
      </c>
      <c r="F12" s="5"/>
      <c r="G12" s="5" t="s">
        <v>17</v>
      </c>
      <c r="H12" s="6">
        <v>0</v>
      </c>
      <c r="I12" s="5" t="s">
        <v>18</v>
      </c>
      <c r="J12" s="6">
        <v>2</v>
      </c>
      <c r="K12" s="7" t="str">
        <f t="shared" si="0"/>
        <v>A151</v>
      </c>
      <c r="L12" s="8"/>
      <c r="M12" s="9" t="str">
        <f t="shared" si="1"/>
        <v>TNH1607</v>
      </c>
      <c r="N12" s="9">
        <f t="shared" si="2"/>
        <v>7</v>
      </c>
      <c r="O12" s="9" t="str">
        <f t="shared" si="3"/>
        <v>K/1TNH1607</v>
      </c>
    </row>
    <row r="13" spans="1:27" ht="15.75" customHeight="1" x14ac:dyDescent="0.35">
      <c r="A13" s="10" t="s">
        <v>12</v>
      </c>
      <c r="B13" s="10" t="s">
        <v>41</v>
      </c>
      <c r="C13" s="10" t="s">
        <v>38</v>
      </c>
      <c r="D13" s="10" t="s">
        <v>46</v>
      </c>
      <c r="E13" s="11" t="s">
        <v>16</v>
      </c>
      <c r="F13" s="10" t="s">
        <v>30</v>
      </c>
      <c r="G13" s="10" t="s">
        <v>17</v>
      </c>
      <c r="H13" s="11">
        <v>0</v>
      </c>
      <c r="I13" s="10" t="s">
        <v>18</v>
      </c>
      <c r="J13" s="11">
        <v>2</v>
      </c>
      <c r="K13" s="7" t="str">
        <f t="shared" si="0"/>
        <v>A151</v>
      </c>
      <c r="L13" s="8"/>
      <c r="M13" s="9" t="str">
        <f t="shared" si="1"/>
        <v>TNH1642</v>
      </c>
      <c r="N13" s="9">
        <f t="shared" si="2"/>
        <v>7</v>
      </c>
      <c r="O13" s="9" t="str">
        <f t="shared" si="3"/>
        <v>K/1TNH1642</v>
      </c>
    </row>
    <row r="14" spans="1:27" ht="15.75" customHeight="1" x14ac:dyDescent="0.35">
      <c r="A14" s="5" t="s">
        <v>12</v>
      </c>
      <c r="B14" s="5" t="s">
        <v>47</v>
      </c>
      <c r="C14" s="5" t="s">
        <v>14</v>
      </c>
      <c r="D14" s="5" t="s">
        <v>48</v>
      </c>
      <c r="E14" s="6" t="s">
        <v>16</v>
      </c>
      <c r="F14" s="5" t="s">
        <v>40</v>
      </c>
      <c r="G14" s="5" t="s">
        <v>17</v>
      </c>
      <c r="H14" s="6">
        <v>0</v>
      </c>
      <c r="I14" s="5" t="s">
        <v>18</v>
      </c>
      <c r="J14" s="6">
        <v>2</v>
      </c>
      <c r="K14" s="7" t="str">
        <f t="shared" si="0"/>
        <v>A151</v>
      </c>
      <c r="L14" s="8"/>
      <c r="M14" s="9" t="str">
        <f t="shared" si="1"/>
        <v>TNH1514</v>
      </c>
      <c r="N14" s="9">
        <f t="shared" si="2"/>
        <v>7</v>
      </c>
      <c r="O14" s="9" t="str">
        <f t="shared" si="3"/>
        <v>K/1TNH1514</v>
      </c>
    </row>
    <row r="15" spans="1:27" ht="15.75" customHeight="1" x14ac:dyDescent="0.35">
      <c r="A15" s="10" t="s">
        <v>12</v>
      </c>
      <c r="B15" s="10" t="s">
        <v>47</v>
      </c>
      <c r="C15" s="10" t="s">
        <v>49</v>
      </c>
      <c r="D15" s="10" t="s">
        <v>32</v>
      </c>
      <c r="E15" s="11" t="s">
        <v>50</v>
      </c>
      <c r="F15" s="10" t="s">
        <v>33</v>
      </c>
      <c r="G15" s="10" t="s">
        <v>17</v>
      </c>
      <c r="H15" s="11">
        <v>0</v>
      </c>
      <c r="I15" s="10" t="s">
        <v>18</v>
      </c>
      <c r="J15" s="11">
        <v>2</v>
      </c>
      <c r="K15" s="7" t="str">
        <f t="shared" si="0"/>
        <v>A151</v>
      </c>
      <c r="L15" s="8"/>
      <c r="M15" s="9" t="str">
        <f t="shared" si="1"/>
        <v>TNH1511</v>
      </c>
      <c r="N15" s="9">
        <f t="shared" si="2"/>
        <v>7</v>
      </c>
      <c r="O15" s="9" t="str">
        <f t="shared" si="3"/>
        <v>P/1TNH1511</v>
      </c>
    </row>
    <row r="16" spans="1:27" ht="15.75" customHeight="1" x14ac:dyDescent="0.35">
      <c r="A16" s="5" t="s">
        <v>12</v>
      </c>
      <c r="B16" s="5" t="s">
        <v>47</v>
      </c>
      <c r="C16" s="5" t="s">
        <v>38</v>
      </c>
      <c r="D16" s="5" t="s">
        <v>51</v>
      </c>
      <c r="E16" s="6" t="s">
        <v>16</v>
      </c>
      <c r="F16" s="5" t="s">
        <v>30</v>
      </c>
      <c r="G16" s="5" t="s">
        <v>17</v>
      </c>
      <c r="H16" s="6">
        <v>0</v>
      </c>
      <c r="I16" s="5" t="s">
        <v>18</v>
      </c>
      <c r="J16" s="6">
        <v>2</v>
      </c>
      <c r="K16" s="7" t="str">
        <f t="shared" si="0"/>
        <v>A151</v>
      </c>
      <c r="L16" s="8"/>
      <c r="M16" s="9" t="str">
        <f t="shared" si="1"/>
        <v>TNH1541</v>
      </c>
      <c r="N16" s="9">
        <f t="shared" si="2"/>
        <v>7</v>
      </c>
      <c r="O16" s="9" t="str">
        <f t="shared" si="3"/>
        <v>K/1TNH1541</v>
      </c>
    </row>
    <row r="17" spans="1:15" ht="15.75" customHeight="1" x14ac:dyDescent="0.35">
      <c r="A17" s="10" t="s">
        <v>12</v>
      </c>
      <c r="B17" s="10" t="s">
        <v>52</v>
      </c>
      <c r="C17" s="10" t="s">
        <v>53</v>
      </c>
      <c r="D17" s="10" t="s">
        <v>54</v>
      </c>
      <c r="E17" s="11" t="s">
        <v>16</v>
      </c>
      <c r="F17" s="10" t="s">
        <v>55</v>
      </c>
      <c r="G17" s="10" t="s">
        <v>17</v>
      </c>
      <c r="H17" s="11">
        <v>0</v>
      </c>
      <c r="I17" s="10" t="s">
        <v>18</v>
      </c>
      <c r="J17" s="11">
        <v>2</v>
      </c>
      <c r="K17" s="7" t="str">
        <f t="shared" si="0"/>
        <v>A151</v>
      </c>
      <c r="L17" s="8"/>
      <c r="M17" s="9" t="str">
        <f t="shared" si="1"/>
        <v>TNH1633</v>
      </c>
      <c r="N17" s="9">
        <f t="shared" si="2"/>
        <v>7</v>
      </c>
      <c r="O17" s="9" t="str">
        <f t="shared" si="3"/>
        <v>K/1TNH1633</v>
      </c>
    </row>
    <row r="18" spans="1:15" ht="15.75" customHeight="1" x14ac:dyDescent="0.35">
      <c r="A18" s="5" t="s">
        <v>12</v>
      </c>
      <c r="B18" s="5" t="s">
        <v>52</v>
      </c>
      <c r="C18" s="5" t="s">
        <v>38</v>
      </c>
      <c r="D18" s="5" t="s">
        <v>56</v>
      </c>
      <c r="E18" s="6" t="s">
        <v>16</v>
      </c>
      <c r="F18" s="5" t="s">
        <v>57</v>
      </c>
      <c r="G18" s="5" t="s">
        <v>17</v>
      </c>
      <c r="H18" s="6">
        <v>0</v>
      </c>
      <c r="I18" s="5" t="s">
        <v>18</v>
      </c>
      <c r="J18" s="6">
        <v>2</v>
      </c>
      <c r="K18" s="7" t="str">
        <f t="shared" si="0"/>
        <v>A151</v>
      </c>
      <c r="L18" s="8"/>
      <c r="M18" s="9" t="str">
        <f t="shared" si="1"/>
        <v>TNH1621</v>
      </c>
      <c r="N18" s="9">
        <f t="shared" si="2"/>
        <v>7</v>
      </c>
      <c r="O18" s="9" t="str">
        <f t="shared" si="3"/>
        <v>K/1TNH1621</v>
      </c>
    </row>
    <row r="19" spans="1:15" ht="15.75" customHeight="1" x14ac:dyDescent="0.35">
      <c r="A19" s="10" t="s">
        <v>58</v>
      </c>
      <c r="B19" s="10" t="s">
        <v>13</v>
      </c>
      <c r="C19" s="10" t="s">
        <v>14</v>
      </c>
      <c r="D19" s="10" t="s">
        <v>59</v>
      </c>
      <c r="E19" s="11" t="s">
        <v>16</v>
      </c>
      <c r="F19" s="10" t="s">
        <v>60</v>
      </c>
      <c r="G19" s="10" t="s">
        <v>17</v>
      </c>
      <c r="H19" s="11">
        <v>0</v>
      </c>
      <c r="I19" s="10" t="s">
        <v>61</v>
      </c>
      <c r="J19" s="11">
        <v>2</v>
      </c>
      <c r="K19" s="7" t="str">
        <f t="shared" si="0"/>
        <v>A156</v>
      </c>
      <c r="L19" s="8"/>
      <c r="M19" s="9" t="str">
        <f t="shared" si="1"/>
        <v>PWL1563</v>
      </c>
      <c r="N19" s="9">
        <f t="shared" si="2"/>
        <v>7</v>
      </c>
      <c r="O19" s="9" t="str">
        <f t="shared" si="3"/>
        <v>K/1PWL1563</v>
      </c>
    </row>
    <row r="20" spans="1:15" ht="15.75" customHeight="1" x14ac:dyDescent="0.35">
      <c r="A20" s="5" t="s">
        <v>58</v>
      </c>
      <c r="B20" s="5" t="s">
        <v>13</v>
      </c>
      <c r="C20" s="5" t="s">
        <v>14</v>
      </c>
      <c r="D20" s="5" t="s">
        <v>62</v>
      </c>
      <c r="E20" s="6" t="s">
        <v>16</v>
      </c>
      <c r="F20" s="5" t="s">
        <v>63</v>
      </c>
      <c r="G20" s="5" t="s">
        <v>17</v>
      </c>
      <c r="H20" s="6">
        <v>0</v>
      </c>
      <c r="I20" s="5" t="s">
        <v>61</v>
      </c>
      <c r="J20" s="6">
        <v>2</v>
      </c>
      <c r="K20" s="7" t="str">
        <f t="shared" si="0"/>
        <v>A156</v>
      </c>
      <c r="L20" s="8"/>
      <c r="M20" s="9" t="str">
        <f t="shared" si="1"/>
        <v>PWL1604</v>
      </c>
      <c r="N20" s="9">
        <f t="shared" si="2"/>
        <v>7</v>
      </c>
      <c r="O20" s="9" t="str">
        <f t="shared" si="3"/>
        <v>K/1PWL1604</v>
      </c>
    </row>
    <row r="21" spans="1:15" ht="15.75" customHeight="1" x14ac:dyDescent="0.35">
      <c r="A21" s="10" t="s">
        <v>58</v>
      </c>
      <c r="B21" s="10" t="s">
        <v>13</v>
      </c>
      <c r="C21" s="10" t="s">
        <v>64</v>
      </c>
      <c r="D21" s="10" t="s">
        <v>65</v>
      </c>
      <c r="E21" s="11" t="s">
        <v>16</v>
      </c>
      <c r="F21" s="10" t="s">
        <v>66</v>
      </c>
      <c r="G21" s="10" t="s">
        <v>17</v>
      </c>
      <c r="H21" s="11">
        <v>0</v>
      </c>
      <c r="I21" s="10" t="s">
        <v>67</v>
      </c>
      <c r="J21" s="11">
        <v>2</v>
      </c>
      <c r="K21" s="7" t="str">
        <f t="shared" si="0"/>
        <v>A156</v>
      </c>
      <c r="L21" s="8"/>
      <c r="M21" s="9" t="str">
        <f t="shared" si="1"/>
        <v>PWD1503</v>
      </c>
      <c r="N21" s="9">
        <f t="shared" si="2"/>
        <v>7</v>
      </c>
      <c r="O21" s="9" t="str">
        <f t="shared" si="3"/>
        <v>K/1PWD1503</v>
      </c>
    </row>
    <row r="22" spans="1:15" ht="17.5" x14ac:dyDescent="0.55000000000000004">
      <c r="A22" s="5" t="s">
        <v>58</v>
      </c>
      <c r="B22" s="5" t="s">
        <v>31</v>
      </c>
      <c r="C22" s="5" t="s">
        <v>25</v>
      </c>
      <c r="D22" s="5" t="s">
        <v>68</v>
      </c>
      <c r="E22" s="6" t="s">
        <v>16</v>
      </c>
      <c r="F22" s="5" t="s">
        <v>69</v>
      </c>
      <c r="G22" s="5" t="s">
        <v>17</v>
      </c>
      <c r="H22" s="6">
        <v>0</v>
      </c>
      <c r="I22" s="5" t="s">
        <v>61</v>
      </c>
      <c r="J22" s="6">
        <v>2</v>
      </c>
      <c r="K22" s="7" t="str">
        <f t="shared" si="0"/>
        <v>A156</v>
      </c>
      <c r="L22" s="8"/>
      <c r="M22" s="9" t="str">
        <f t="shared" si="1"/>
        <v>PWL1651</v>
      </c>
      <c r="N22" s="9">
        <f t="shared" si="2"/>
        <v>7</v>
      </c>
      <c r="O22" s="9" t="str">
        <f t="shared" si="3"/>
        <v>K/1PWL1651</v>
      </c>
    </row>
    <row r="23" spans="1:15" ht="17.5" x14ac:dyDescent="0.55000000000000004">
      <c r="A23" s="10" t="s">
        <v>58</v>
      </c>
      <c r="B23" s="10" t="s">
        <v>31</v>
      </c>
      <c r="C23" s="10" t="s">
        <v>64</v>
      </c>
      <c r="D23" s="10" t="s">
        <v>70</v>
      </c>
      <c r="E23" s="11" t="s">
        <v>16</v>
      </c>
      <c r="F23" s="10" t="s">
        <v>71</v>
      </c>
      <c r="G23" s="10" t="s">
        <v>17</v>
      </c>
      <c r="H23" s="11">
        <v>0</v>
      </c>
      <c r="I23" s="10" t="s">
        <v>61</v>
      </c>
      <c r="J23" s="11">
        <v>2</v>
      </c>
      <c r="K23" s="7" t="str">
        <f t="shared" si="0"/>
        <v>A156</v>
      </c>
      <c r="L23" s="8"/>
      <c r="M23" s="9" t="str">
        <f t="shared" si="1"/>
        <v>PWL1606</v>
      </c>
      <c r="N23" s="9">
        <f t="shared" si="2"/>
        <v>7</v>
      </c>
      <c r="O23" s="9" t="str">
        <f t="shared" si="3"/>
        <v>K/1PWL1606</v>
      </c>
    </row>
    <row r="24" spans="1:15" ht="17.5" x14ac:dyDescent="0.55000000000000004">
      <c r="A24" s="5" t="s">
        <v>58</v>
      </c>
      <c r="B24" s="5" t="s">
        <v>31</v>
      </c>
      <c r="C24" s="5" t="s">
        <v>64</v>
      </c>
      <c r="D24" s="5" t="s">
        <v>72</v>
      </c>
      <c r="E24" s="6" t="s">
        <v>16</v>
      </c>
      <c r="F24" s="5" t="s">
        <v>73</v>
      </c>
      <c r="G24" s="5" t="s">
        <v>17</v>
      </c>
      <c r="H24" s="6">
        <v>0</v>
      </c>
      <c r="I24" s="5" t="s">
        <v>61</v>
      </c>
      <c r="J24" s="6">
        <v>2</v>
      </c>
      <c r="K24" s="7" t="str">
        <f t="shared" si="0"/>
        <v>A156</v>
      </c>
      <c r="L24" s="8"/>
      <c r="M24" s="9" t="str">
        <f t="shared" si="1"/>
        <v>PWL1608</v>
      </c>
      <c r="N24" s="9">
        <f t="shared" si="2"/>
        <v>7</v>
      </c>
      <c r="O24" s="9" t="str">
        <f t="shared" si="3"/>
        <v>K/1PWL1608</v>
      </c>
    </row>
    <row r="25" spans="1:15" ht="17.5" x14ac:dyDescent="0.55000000000000004">
      <c r="A25" s="10" t="s">
        <v>58</v>
      </c>
      <c r="B25" s="10" t="s">
        <v>31</v>
      </c>
      <c r="C25" s="10" t="s">
        <v>74</v>
      </c>
      <c r="D25" s="10" t="s">
        <v>70</v>
      </c>
      <c r="E25" s="11" t="s">
        <v>50</v>
      </c>
      <c r="F25" s="10" t="s">
        <v>71</v>
      </c>
      <c r="G25" s="10" t="s">
        <v>17</v>
      </c>
      <c r="H25" s="11">
        <v>0</v>
      </c>
      <c r="I25" s="10" t="s">
        <v>61</v>
      </c>
      <c r="J25" s="11">
        <v>2</v>
      </c>
      <c r="K25" s="7" t="str">
        <f t="shared" si="0"/>
        <v>A156</v>
      </c>
      <c r="L25" s="8"/>
      <c r="M25" s="9" t="str">
        <f t="shared" si="1"/>
        <v>PWL1606</v>
      </c>
      <c r="N25" s="9">
        <f t="shared" si="2"/>
        <v>7</v>
      </c>
      <c r="O25" s="9" t="str">
        <f t="shared" si="3"/>
        <v>P/1PWL1606</v>
      </c>
    </row>
    <row r="26" spans="1:15" ht="17.5" x14ac:dyDescent="0.55000000000000004">
      <c r="A26" s="5" t="s">
        <v>58</v>
      </c>
      <c r="B26" s="5" t="s">
        <v>41</v>
      </c>
      <c r="C26" s="5" t="s">
        <v>64</v>
      </c>
      <c r="D26" s="5" t="s">
        <v>75</v>
      </c>
      <c r="E26" s="6" t="s">
        <v>16</v>
      </c>
      <c r="F26" s="5" t="s">
        <v>76</v>
      </c>
      <c r="G26" s="5" t="s">
        <v>17</v>
      </c>
      <c r="H26" s="6">
        <v>0</v>
      </c>
      <c r="I26" s="5" t="s">
        <v>61</v>
      </c>
      <c r="J26" s="6">
        <v>2</v>
      </c>
      <c r="K26" s="7" t="str">
        <f t="shared" si="0"/>
        <v>A156</v>
      </c>
      <c r="L26" s="8"/>
      <c r="M26" s="9" t="str">
        <f t="shared" si="1"/>
        <v>PWL1601</v>
      </c>
      <c r="N26" s="9">
        <f t="shared" si="2"/>
        <v>7</v>
      </c>
      <c r="O26" s="9" t="str">
        <f t="shared" si="3"/>
        <v>K/1PWL1601</v>
      </c>
    </row>
    <row r="27" spans="1:15" ht="17.5" x14ac:dyDescent="0.55000000000000004">
      <c r="A27" s="10" t="s">
        <v>58</v>
      </c>
      <c r="B27" s="10" t="s">
        <v>41</v>
      </c>
      <c r="C27" s="10" t="s">
        <v>74</v>
      </c>
      <c r="D27" s="10" t="s">
        <v>75</v>
      </c>
      <c r="E27" s="11" t="s">
        <v>50</v>
      </c>
      <c r="F27" s="10" t="s">
        <v>76</v>
      </c>
      <c r="G27" s="10" t="s">
        <v>17</v>
      </c>
      <c r="H27" s="11">
        <v>0</v>
      </c>
      <c r="I27" s="10" t="s">
        <v>61</v>
      </c>
      <c r="J27" s="11">
        <v>2</v>
      </c>
      <c r="K27" s="7" t="str">
        <f t="shared" si="0"/>
        <v>A156</v>
      </c>
      <c r="L27" s="8"/>
      <c r="M27" s="9" t="str">
        <f t="shared" si="1"/>
        <v>PWL1601</v>
      </c>
      <c r="N27" s="9">
        <f t="shared" si="2"/>
        <v>7</v>
      </c>
      <c r="O27" s="9" t="str">
        <f t="shared" si="3"/>
        <v>P/1PWL1601</v>
      </c>
    </row>
    <row r="28" spans="1:15" ht="17.5" x14ac:dyDescent="0.55000000000000004">
      <c r="A28" s="5" t="s">
        <v>58</v>
      </c>
      <c r="B28" s="5" t="s">
        <v>47</v>
      </c>
      <c r="C28" s="5" t="s">
        <v>14</v>
      </c>
      <c r="D28" s="5" t="s">
        <v>77</v>
      </c>
      <c r="E28" s="6" t="s">
        <v>16</v>
      </c>
      <c r="F28" s="5" t="s">
        <v>71</v>
      </c>
      <c r="G28" s="5" t="s">
        <v>17</v>
      </c>
      <c r="H28" s="6">
        <v>0</v>
      </c>
      <c r="I28" s="5" t="s">
        <v>61</v>
      </c>
      <c r="J28" s="6">
        <v>2</v>
      </c>
      <c r="K28" s="7" t="str">
        <f t="shared" si="0"/>
        <v>A156</v>
      </c>
      <c r="L28" s="8"/>
      <c r="M28" s="9" t="str">
        <f t="shared" si="1"/>
        <v>PWL1654</v>
      </c>
      <c r="N28" s="9">
        <f t="shared" si="2"/>
        <v>7</v>
      </c>
      <c r="O28" s="9" t="str">
        <f t="shared" si="3"/>
        <v>K/1PWL1654</v>
      </c>
    </row>
    <row r="29" spans="1:15" ht="17.5" x14ac:dyDescent="0.55000000000000004">
      <c r="A29" s="10" t="s">
        <v>58</v>
      </c>
      <c r="B29" s="10" t="s">
        <v>47</v>
      </c>
      <c r="C29" s="10" t="s">
        <v>25</v>
      </c>
      <c r="D29" s="10" t="s">
        <v>78</v>
      </c>
      <c r="E29" s="11" t="s">
        <v>16</v>
      </c>
      <c r="F29" s="10" t="s">
        <v>79</v>
      </c>
      <c r="G29" s="10" t="s">
        <v>17</v>
      </c>
      <c r="H29" s="11">
        <v>0</v>
      </c>
      <c r="I29" s="10" t="s">
        <v>61</v>
      </c>
      <c r="J29" s="11">
        <v>2</v>
      </c>
      <c r="K29" s="7" t="str">
        <f t="shared" si="0"/>
        <v>A156</v>
      </c>
      <c r="L29" s="8"/>
      <c r="M29" s="9" t="str">
        <f t="shared" si="1"/>
        <v>PWL1565</v>
      </c>
      <c r="N29" s="9">
        <f t="shared" si="2"/>
        <v>7</v>
      </c>
      <c r="O29" s="9" t="str">
        <f t="shared" si="3"/>
        <v>K/1PWL1565</v>
      </c>
    </row>
    <row r="30" spans="1:15" ht="17.5" x14ac:dyDescent="0.55000000000000004">
      <c r="A30" s="5" t="s">
        <v>58</v>
      </c>
      <c r="B30" s="5" t="s">
        <v>47</v>
      </c>
      <c r="C30" s="5" t="s">
        <v>25</v>
      </c>
      <c r="D30" s="5" t="s">
        <v>80</v>
      </c>
      <c r="E30" s="6" t="s">
        <v>16</v>
      </c>
      <c r="F30" s="5" t="s">
        <v>81</v>
      </c>
      <c r="G30" s="5" t="s">
        <v>17</v>
      </c>
      <c r="H30" s="6">
        <v>0</v>
      </c>
      <c r="I30" s="5" t="s">
        <v>61</v>
      </c>
      <c r="J30" s="6">
        <v>2</v>
      </c>
      <c r="K30" s="7" t="str">
        <f t="shared" si="0"/>
        <v>A156</v>
      </c>
      <c r="L30" s="8"/>
      <c r="M30" s="9" t="str">
        <f t="shared" si="1"/>
        <v>PWL1631</v>
      </c>
      <c r="N30" s="9">
        <f t="shared" si="2"/>
        <v>7</v>
      </c>
      <c r="O30" s="9" t="str">
        <f t="shared" si="3"/>
        <v>K/1PWL1631</v>
      </c>
    </row>
    <row r="31" spans="1:15" ht="17.5" x14ac:dyDescent="0.55000000000000004">
      <c r="A31" s="10" t="s">
        <v>58</v>
      </c>
      <c r="B31" s="10" t="s">
        <v>47</v>
      </c>
      <c r="C31" s="10" t="s">
        <v>25</v>
      </c>
      <c r="D31" s="10" t="s">
        <v>82</v>
      </c>
      <c r="E31" s="11" t="s">
        <v>16</v>
      </c>
      <c r="F31" s="10"/>
      <c r="G31" s="10" t="s">
        <v>17</v>
      </c>
      <c r="H31" s="11">
        <v>0</v>
      </c>
      <c r="I31" s="10" t="s">
        <v>61</v>
      </c>
      <c r="J31" s="11">
        <v>2</v>
      </c>
      <c r="K31" s="7" t="str">
        <f t="shared" si="0"/>
        <v>A156</v>
      </c>
      <c r="L31" s="8"/>
      <c r="M31" s="9" t="str">
        <f t="shared" si="1"/>
        <v>TNH1635</v>
      </c>
      <c r="N31" s="9">
        <f t="shared" si="2"/>
        <v>7</v>
      </c>
      <c r="O31" s="9" t="str">
        <f t="shared" si="3"/>
        <v>K/1TNH1635</v>
      </c>
    </row>
    <row r="32" spans="1:15" ht="17.5" x14ac:dyDescent="0.55000000000000004">
      <c r="A32" s="5" t="s">
        <v>58</v>
      </c>
      <c r="B32" s="5" t="s">
        <v>47</v>
      </c>
      <c r="C32" s="5" t="s">
        <v>64</v>
      </c>
      <c r="D32" s="5" t="s">
        <v>83</v>
      </c>
      <c r="E32" s="6" t="s">
        <v>16</v>
      </c>
      <c r="F32" s="5" t="s">
        <v>84</v>
      </c>
      <c r="G32" s="5" t="s">
        <v>17</v>
      </c>
      <c r="H32" s="6">
        <v>0</v>
      </c>
      <c r="I32" s="5" t="s">
        <v>61</v>
      </c>
      <c r="J32" s="6">
        <v>2</v>
      </c>
      <c r="K32" s="7" t="str">
        <f t="shared" si="0"/>
        <v>A156</v>
      </c>
      <c r="L32" s="8"/>
      <c r="M32" s="9" t="str">
        <f t="shared" si="1"/>
        <v>PWL1532</v>
      </c>
      <c r="N32" s="9">
        <f t="shared" si="2"/>
        <v>7</v>
      </c>
      <c r="O32" s="9" t="str">
        <f t="shared" si="3"/>
        <v>K/1PWL1532</v>
      </c>
    </row>
    <row r="33" spans="1:15" ht="17.5" x14ac:dyDescent="0.55000000000000004">
      <c r="A33" s="10" t="s">
        <v>58</v>
      </c>
      <c r="B33" s="10" t="s">
        <v>47</v>
      </c>
      <c r="C33" s="10" t="s">
        <v>64</v>
      </c>
      <c r="D33" s="10" t="s">
        <v>85</v>
      </c>
      <c r="E33" s="11" t="s">
        <v>16</v>
      </c>
      <c r="F33" s="10" t="s">
        <v>86</v>
      </c>
      <c r="G33" s="10" t="s">
        <v>17</v>
      </c>
      <c r="H33" s="11">
        <v>0</v>
      </c>
      <c r="I33" s="10" t="s">
        <v>61</v>
      </c>
      <c r="J33" s="11">
        <v>2</v>
      </c>
      <c r="K33" s="7" t="str">
        <f t="shared" si="0"/>
        <v>A156</v>
      </c>
      <c r="L33" s="8"/>
      <c r="M33" s="9" t="str">
        <f t="shared" si="1"/>
        <v>PWL1605</v>
      </c>
      <c r="N33" s="9">
        <f t="shared" si="2"/>
        <v>7</v>
      </c>
      <c r="O33" s="9" t="str">
        <f t="shared" si="3"/>
        <v>K/1PWL1605</v>
      </c>
    </row>
    <row r="34" spans="1:15" ht="17.5" x14ac:dyDescent="0.55000000000000004">
      <c r="A34" s="5" t="s">
        <v>58</v>
      </c>
      <c r="B34" s="5" t="s">
        <v>52</v>
      </c>
      <c r="C34" s="5" t="s">
        <v>14</v>
      </c>
      <c r="D34" s="5" t="s">
        <v>87</v>
      </c>
      <c r="E34" s="6" t="s">
        <v>16</v>
      </c>
      <c r="F34" s="5" t="s">
        <v>84</v>
      </c>
      <c r="G34" s="5" t="s">
        <v>17</v>
      </c>
      <c r="H34" s="6">
        <v>0</v>
      </c>
      <c r="I34" s="5" t="s">
        <v>61</v>
      </c>
      <c r="J34" s="6">
        <v>2</v>
      </c>
      <c r="K34" s="7" t="str">
        <f t="shared" si="0"/>
        <v>A156</v>
      </c>
      <c r="L34" s="8"/>
      <c r="M34" s="9" t="str">
        <f t="shared" si="1"/>
        <v>PWL1531</v>
      </c>
      <c r="N34" s="9">
        <f t="shared" si="2"/>
        <v>7</v>
      </c>
      <c r="O34" s="9" t="str">
        <f t="shared" si="3"/>
        <v>K/1PWL1531</v>
      </c>
    </row>
    <row r="35" spans="1:15" ht="17.5" x14ac:dyDescent="0.55000000000000004">
      <c r="A35" s="10" t="s">
        <v>58</v>
      </c>
      <c r="B35" s="10" t="s">
        <v>52</v>
      </c>
      <c r="C35" s="10" t="s">
        <v>14</v>
      </c>
      <c r="D35" s="10" t="s">
        <v>88</v>
      </c>
      <c r="E35" s="11" t="s">
        <v>50</v>
      </c>
      <c r="F35" s="10" t="s">
        <v>89</v>
      </c>
      <c r="G35" s="10" t="s">
        <v>17</v>
      </c>
      <c r="H35" s="11">
        <v>0</v>
      </c>
      <c r="I35" s="10" t="s">
        <v>61</v>
      </c>
      <c r="J35" s="11">
        <v>2</v>
      </c>
      <c r="K35" s="7" t="str">
        <f t="shared" si="0"/>
        <v>A156</v>
      </c>
      <c r="L35" s="8"/>
      <c r="M35" s="9" t="str">
        <f t="shared" si="1"/>
        <v>PWL1603</v>
      </c>
      <c r="N35" s="9">
        <f t="shared" si="2"/>
        <v>7</v>
      </c>
      <c r="O35" s="9" t="str">
        <f t="shared" si="3"/>
        <v>P/1PWL1603</v>
      </c>
    </row>
    <row r="36" spans="1:15" ht="17.5" x14ac:dyDescent="0.55000000000000004">
      <c r="A36" s="5" t="s">
        <v>58</v>
      </c>
      <c r="B36" s="5" t="s">
        <v>52</v>
      </c>
      <c r="C36" s="5" t="s">
        <v>90</v>
      </c>
      <c r="D36" s="5" t="s">
        <v>65</v>
      </c>
      <c r="E36" s="6" t="s">
        <v>50</v>
      </c>
      <c r="F36" s="5" t="s">
        <v>66</v>
      </c>
      <c r="G36" s="5" t="s">
        <v>17</v>
      </c>
      <c r="H36" s="6">
        <v>0</v>
      </c>
      <c r="I36" s="5" t="s">
        <v>67</v>
      </c>
      <c r="J36" s="6">
        <v>2</v>
      </c>
      <c r="K36" s="7" t="str">
        <f t="shared" si="0"/>
        <v>A156</v>
      </c>
      <c r="L36" s="8"/>
      <c r="M36" s="9" t="str">
        <f t="shared" si="1"/>
        <v>PWD1503</v>
      </c>
      <c r="N36" s="9">
        <f t="shared" si="2"/>
        <v>7</v>
      </c>
      <c r="O36" s="9" t="str">
        <f t="shared" si="3"/>
        <v>P/1PWD1503</v>
      </c>
    </row>
    <row r="37" spans="1:15" ht="17.5" x14ac:dyDescent="0.55000000000000004">
      <c r="A37" s="10" t="s">
        <v>91</v>
      </c>
      <c r="B37" s="11" t="s">
        <v>13</v>
      </c>
      <c r="C37" s="11" t="s">
        <v>92</v>
      </c>
      <c r="D37" s="10" t="s">
        <v>93</v>
      </c>
      <c r="E37" s="11" t="s">
        <v>50</v>
      </c>
      <c r="F37" s="11" t="s">
        <v>94</v>
      </c>
      <c r="G37" s="11" t="s">
        <v>17</v>
      </c>
      <c r="H37" s="11">
        <v>0</v>
      </c>
      <c r="I37" s="11" t="s">
        <v>95</v>
      </c>
      <c r="J37" s="11">
        <v>2</v>
      </c>
      <c r="K37" s="7" t="str">
        <f t="shared" si="0"/>
        <v>A251</v>
      </c>
      <c r="L37" s="8"/>
      <c r="M37" s="9" t="str">
        <f t="shared" si="1"/>
        <v>PTN1504</v>
      </c>
      <c r="N37" s="9">
        <f t="shared" si="2"/>
        <v>7</v>
      </c>
      <c r="O37" s="9" t="str">
        <f t="shared" si="3"/>
        <v>P/1PTN1504</v>
      </c>
    </row>
    <row r="38" spans="1:15" ht="17.5" x14ac:dyDescent="0.55000000000000004">
      <c r="A38" s="5" t="s">
        <v>91</v>
      </c>
      <c r="B38" s="6" t="s">
        <v>13</v>
      </c>
      <c r="C38" s="6" t="s">
        <v>96</v>
      </c>
      <c r="D38" s="5" t="s">
        <v>93</v>
      </c>
      <c r="E38" s="6" t="s">
        <v>16</v>
      </c>
      <c r="F38" s="6" t="s">
        <v>94</v>
      </c>
      <c r="G38" s="6" t="s">
        <v>97</v>
      </c>
      <c r="H38" s="6">
        <v>20</v>
      </c>
      <c r="I38" s="6" t="s">
        <v>95</v>
      </c>
      <c r="J38" s="6">
        <v>2</v>
      </c>
      <c r="K38" s="7" t="str">
        <f t="shared" si="0"/>
        <v>A251</v>
      </c>
      <c r="L38" s="8"/>
      <c r="M38" s="9" t="str">
        <f t="shared" si="1"/>
        <v>PTN1504</v>
      </c>
      <c r="N38" s="9">
        <f t="shared" si="2"/>
        <v>7</v>
      </c>
      <c r="O38" s="9" t="str">
        <f t="shared" si="3"/>
        <v>K/1PTN1504</v>
      </c>
    </row>
    <row r="39" spans="1:15" ht="17.5" x14ac:dyDescent="0.55000000000000004">
      <c r="A39" s="10" t="s">
        <v>91</v>
      </c>
      <c r="B39" s="11" t="s">
        <v>13</v>
      </c>
      <c r="C39" s="11" t="s">
        <v>64</v>
      </c>
      <c r="D39" s="10" t="s">
        <v>98</v>
      </c>
      <c r="E39" s="11" t="s">
        <v>16</v>
      </c>
      <c r="F39" s="11" t="s">
        <v>99</v>
      </c>
      <c r="G39" s="11" t="s">
        <v>97</v>
      </c>
      <c r="H39" s="11">
        <v>20</v>
      </c>
      <c r="I39" s="11" t="s">
        <v>100</v>
      </c>
      <c r="J39" s="11">
        <v>2</v>
      </c>
      <c r="K39" s="7" t="str">
        <f t="shared" si="0"/>
        <v>A251</v>
      </c>
      <c r="L39" s="8"/>
      <c r="M39" s="9" t="str">
        <f t="shared" si="1"/>
        <v>ENT1601</v>
      </c>
      <c r="N39" s="9">
        <f t="shared" si="2"/>
        <v>7</v>
      </c>
      <c r="O39" s="9" t="str">
        <f t="shared" si="3"/>
        <v>K/1ENT1601</v>
      </c>
    </row>
    <row r="40" spans="1:15" ht="17.5" x14ac:dyDescent="0.55000000000000004">
      <c r="A40" s="5" t="s">
        <v>91</v>
      </c>
      <c r="B40" s="6" t="s">
        <v>13</v>
      </c>
      <c r="C40" s="6" t="s">
        <v>101</v>
      </c>
      <c r="D40" s="5" t="s">
        <v>102</v>
      </c>
      <c r="E40" s="6" t="s">
        <v>16</v>
      </c>
      <c r="F40" s="6" t="s">
        <v>103</v>
      </c>
      <c r="G40" s="6" t="s">
        <v>104</v>
      </c>
      <c r="H40" s="6">
        <v>20</v>
      </c>
      <c r="I40" s="6" t="s">
        <v>95</v>
      </c>
      <c r="J40" s="6">
        <v>2</v>
      </c>
      <c r="K40" s="7" t="str">
        <f t="shared" si="0"/>
        <v>A251</v>
      </c>
      <c r="L40" s="8"/>
      <c r="M40" s="9" t="str">
        <f t="shared" si="1"/>
        <v>FIT1627</v>
      </c>
      <c r="N40" s="9">
        <f t="shared" si="2"/>
        <v>7</v>
      </c>
      <c r="O40" s="9" t="str">
        <f t="shared" si="3"/>
        <v>K/1FIT1627</v>
      </c>
    </row>
    <row r="41" spans="1:15" ht="17.5" x14ac:dyDescent="0.55000000000000004">
      <c r="A41" s="10" t="s">
        <v>91</v>
      </c>
      <c r="B41" s="11" t="s">
        <v>31</v>
      </c>
      <c r="C41" s="11" t="s">
        <v>92</v>
      </c>
      <c r="D41" s="10" t="s">
        <v>98</v>
      </c>
      <c r="E41" s="11" t="s">
        <v>50</v>
      </c>
      <c r="F41" s="11" t="s">
        <v>99</v>
      </c>
      <c r="G41" s="11" t="s">
        <v>17</v>
      </c>
      <c r="H41" s="11">
        <v>0</v>
      </c>
      <c r="I41" s="11" t="s">
        <v>100</v>
      </c>
      <c r="J41" s="11">
        <v>2</v>
      </c>
      <c r="K41" s="7" t="str">
        <f t="shared" si="0"/>
        <v>A251</v>
      </c>
      <c r="L41" s="8"/>
      <c r="M41" s="9" t="str">
        <f t="shared" si="1"/>
        <v>ENT1601</v>
      </c>
      <c r="N41" s="9">
        <f t="shared" si="2"/>
        <v>7</v>
      </c>
      <c r="O41" s="9" t="str">
        <f t="shared" si="3"/>
        <v>P/1ENT1601</v>
      </c>
    </row>
    <row r="42" spans="1:15" ht="17.5" x14ac:dyDescent="0.55000000000000004">
      <c r="A42" s="5" t="s">
        <v>91</v>
      </c>
      <c r="B42" s="6" t="s">
        <v>31</v>
      </c>
      <c r="C42" s="6" t="s">
        <v>92</v>
      </c>
      <c r="D42" s="5" t="s">
        <v>105</v>
      </c>
      <c r="E42" s="6" t="s">
        <v>50</v>
      </c>
      <c r="F42" s="6" t="s">
        <v>106</v>
      </c>
      <c r="G42" s="6" t="s">
        <v>17</v>
      </c>
      <c r="H42" s="6">
        <v>0</v>
      </c>
      <c r="I42" s="6" t="s">
        <v>95</v>
      </c>
      <c r="J42" s="6">
        <v>2</v>
      </c>
      <c r="K42" s="7" t="str">
        <f t="shared" si="0"/>
        <v>A251</v>
      </c>
      <c r="L42" s="8"/>
      <c r="M42" s="9" t="str">
        <f t="shared" si="1"/>
        <v>FIT1623</v>
      </c>
      <c r="N42" s="9">
        <f t="shared" si="2"/>
        <v>7</v>
      </c>
      <c r="O42" s="9" t="str">
        <f t="shared" si="3"/>
        <v>P/1FIT1623</v>
      </c>
    </row>
    <row r="43" spans="1:15" ht="17.5" x14ac:dyDescent="0.55000000000000004">
      <c r="A43" s="10" t="s">
        <v>91</v>
      </c>
      <c r="B43" s="11" t="s">
        <v>31</v>
      </c>
      <c r="C43" s="11" t="s">
        <v>92</v>
      </c>
      <c r="D43" s="10" t="s">
        <v>107</v>
      </c>
      <c r="E43" s="11" t="s">
        <v>50</v>
      </c>
      <c r="F43" s="11" t="s">
        <v>108</v>
      </c>
      <c r="G43" s="11" t="s">
        <v>17</v>
      </c>
      <c r="H43" s="11">
        <v>0</v>
      </c>
      <c r="I43" s="11" t="s">
        <v>95</v>
      </c>
      <c r="J43" s="11">
        <v>2</v>
      </c>
      <c r="K43" s="7" t="str">
        <f t="shared" si="0"/>
        <v>A251</v>
      </c>
      <c r="L43" s="8"/>
      <c r="M43" s="9" t="str">
        <f t="shared" si="1"/>
        <v>FIT1624</v>
      </c>
      <c r="N43" s="9">
        <f t="shared" si="2"/>
        <v>7</v>
      </c>
      <c r="O43" s="9" t="str">
        <f t="shared" si="3"/>
        <v>P/1FIT1624</v>
      </c>
    </row>
    <row r="44" spans="1:15" ht="17.5" x14ac:dyDescent="0.55000000000000004">
      <c r="A44" s="5" t="s">
        <v>91</v>
      </c>
      <c r="B44" s="6" t="s">
        <v>31</v>
      </c>
      <c r="C44" s="6" t="s">
        <v>92</v>
      </c>
      <c r="D44" s="5" t="s">
        <v>109</v>
      </c>
      <c r="E44" s="6" t="s">
        <v>50</v>
      </c>
      <c r="F44" s="6" t="s">
        <v>110</v>
      </c>
      <c r="G44" s="6" t="s">
        <v>17</v>
      </c>
      <c r="H44" s="6">
        <v>0</v>
      </c>
      <c r="I44" s="6" t="s">
        <v>111</v>
      </c>
      <c r="J44" s="6">
        <v>2</v>
      </c>
      <c r="K44" s="7" t="str">
        <f t="shared" si="0"/>
        <v>A251</v>
      </c>
      <c r="L44" s="8"/>
      <c r="M44" s="9" t="str">
        <f t="shared" si="1"/>
        <v>FIT1625</v>
      </c>
      <c r="N44" s="9">
        <f t="shared" si="2"/>
        <v>7</v>
      </c>
      <c r="O44" s="9" t="str">
        <f t="shared" si="3"/>
        <v>P/1FIT1625</v>
      </c>
    </row>
    <row r="45" spans="1:15" ht="17.5" x14ac:dyDescent="0.55000000000000004">
      <c r="A45" s="10" t="s">
        <v>91</v>
      </c>
      <c r="B45" s="11" t="s">
        <v>31</v>
      </c>
      <c r="C45" s="11" t="s">
        <v>92</v>
      </c>
      <c r="D45" s="10" t="s">
        <v>112</v>
      </c>
      <c r="E45" s="11" t="s">
        <v>50</v>
      </c>
      <c r="F45" s="11" t="s">
        <v>113</v>
      </c>
      <c r="G45" s="11" t="s">
        <v>17</v>
      </c>
      <c r="H45" s="11">
        <v>0</v>
      </c>
      <c r="I45" s="11" t="s">
        <v>111</v>
      </c>
      <c r="J45" s="11">
        <v>2</v>
      </c>
      <c r="K45" s="7" t="str">
        <f t="shared" si="0"/>
        <v>A251</v>
      </c>
      <c r="L45" s="8"/>
      <c r="M45" s="9" t="str">
        <f t="shared" si="1"/>
        <v>FIT1626</v>
      </c>
      <c r="N45" s="9">
        <f t="shared" si="2"/>
        <v>7</v>
      </c>
      <c r="O45" s="9" t="str">
        <f t="shared" si="3"/>
        <v>P/1FIT1626</v>
      </c>
    </row>
    <row r="46" spans="1:15" ht="17.5" x14ac:dyDescent="0.55000000000000004">
      <c r="A46" s="5" t="s">
        <v>91</v>
      </c>
      <c r="B46" s="6" t="s">
        <v>31</v>
      </c>
      <c r="C46" s="6" t="s">
        <v>114</v>
      </c>
      <c r="D46" s="5" t="s">
        <v>115</v>
      </c>
      <c r="E46" s="6" t="s">
        <v>16</v>
      </c>
      <c r="F46" s="6" t="s">
        <v>103</v>
      </c>
      <c r="G46" s="6" t="s">
        <v>17</v>
      </c>
      <c r="H46" s="6">
        <v>0</v>
      </c>
      <c r="I46" s="6" t="s">
        <v>95</v>
      </c>
      <c r="J46" s="6">
        <v>2</v>
      </c>
      <c r="K46" s="7" t="str">
        <f t="shared" si="0"/>
        <v>A251</v>
      </c>
      <c r="L46" s="8"/>
      <c r="M46" s="9" t="str">
        <f t="shared" si="1"/>
        <v>FIT1629</v>
      </c>
      <c r="N46" s="9">
        <f t="shared" si="2"/>
        <v>7</v>
      </c>
      <c r="O46" s="9" t="str">
        <f t="shared" si="3"/>
        <v>K/1FIT1629</v>
      </c>
    </row>
    <row r="47" spans="1:15" ht="17.5" x14ac:dyDescent="0.55000000000000004">
      <c r="A47" s="10" t="s">
        <v>91</v>
      </c>
      <c r="B47" s="11" t="s">
        <v>31</v>
      </c>
      <c r="C47" s="11" t="s">
        <v>114</v>
      </c>
      <c r="D47" s="10" t="s">
        <v>116</v>
      </c>
      <c r="E47" s="11" t="s">
        <v>16</v>
      </c>
      <c r="F47" s="11" t="s">
        <v>117</v>
      </c>
      <c r="G47" s="11" t="s">
        <v>118</v>
      </c>
      <c r="H47" s="11">
        <v>20</v>
      </c>
      <c r="I47" s="11" t="s">
        <v>111</v>
      </c>
      <c r="J47" s="11">
        <v>2</v>
      </c>
      <c r="K47" s="7" t="str">
        <f t="shared" si="0"/>
        <v>A251</v>
      </c>
      <c r="L47" s="8"/>
      <c r="M47" s="9" t="str">
        <f t="shared" si="1"/>
        <v>FIT1653</v>
      </c>
      <c r="N47" s="9">
        <f t="shared" si="2"/>
        <v>7</v>
      </c>
      <c r="O47" s="9" t="str">
        <f t="shared" si="3"/>
        <v>K/1FIT1653</v>
      </c>
    </row>
    <row r="48" spans="1:15" ht="17.5" x14ac:dyDescent="0.55000000000000004">
      <c r="A48" s="5" t="s">
        <v>91</v>
      </c>
      <c r="B48" s="6" t="s">
        <v>41</v>
      </c>
      <c r="C48" s="6" t="s">
        <v>92</v>
      </c>
      <c r="D48" s="5" t="s">
        <v>119</v>
      </c>
      <c r="E48" s="6" t="s">
        <v>50</v>
      </c>
      <c r="F48" s="6" t="s">
        <v>120</v>
      </c>
      <c r="G48" s="6" t="s">
        <v>17</v>
      </c>
      <c r="H48" s="6">
        <v>0</v>
      </c>
      <c r="I48" s="6" t="s">
        <v>111</v>
      </c>
      <c r="J48" s="6">
        <v>2</v>
      </c>
      <c r="K48" s="7" t="str">
        <f t="shared" si="0"/>
        <v>A251</v>
      </c>
      <c r="L48" s="8"/>
      <c r="M48" s="9" t="str">
        <f t="shared" si="1"/>
        <v>FIT1628</v>
      </c>
      <c r="N48" s="9">
        <f t="shared" si="2"/>
        <v>7</v>
      </c>
      <c r="O48" s="9" t="str">
        <f t="shared" si="3"/>
        <v>P/1FIT1628</v>
      </c>
    </row>
    <row r="49" spans="1:15" ht="17.5" x14ac:dyDescent="0.55000000000000004">
      <c r="A49" s="10" t="s">
        <v>91</v>
      </c>
      <c r="B49" s="11" t="s">
        <v>41</v>
      </c>
      <c r="C49" s="11" t="s">
        <v>64</v>
      </c>
      <c r="D49" s="10" t="s">
        <v>119</v>
      </c>
      <c r="E49" s="11" t="s">
        <v>16</v>
      </c>
      <c r="F49" s="11" t="s">
        <v>120</v>
      </c>
      <c r="G49" s="11" t="s">
        <v>104</v>
      </c>
      <c r="H49" s="11">
        <v>20</v>
      </c>
      <c r="I49" s="11" t="s">
        <v>111</v>
      </c>
      <c r="J49" s="11">
        <v>2</v>
      </c>
      <c r="K49" s="7" t="str">
        <f t="shared" si="0"/>
        <v>A251</v>
      </c>
      <c r="L49" s="8"/>
      <c r="M49" s="9" t="str">
        <f t="shared" si="1"/>
        <v>FIT1628</v>
      </c>
      <c r="N49" s="9">
        <f t="shared" si="2"/>
        <v>7</v>
      </c>
      <c r="O49" s="9" t="str">
        <f t="shared" si="3"/>
        <v>K/1FIT1628</v>
      </c>
    </row>
    <row r="50" spans="1:15" ht="17.5" x14ac:dyDescent="0.55000000000000004">
      <c r="A50" s="5" t="s">
        <v>91</v>
      </c>
      <c r="B50" s="6" t="s">
        <v>47</v>
      </c>
      <c r="C50" s="6" t="s">
        <v>121</v>
      </c>
      <c r="D50" s="5" t="s">
        <v>105</v>
      </c>
      <c r="E50" s="6" t="s">
        <v>16</v>
      </c>
      <c r="F50" s="6" t="s">
        <v>106</v>
      </c>
      <c r="G50" s="6" t="s">
        <v>122</v>
      </c>
      <c r="H50" s="6">
        <v>10</v>
      </c>
      <c r="I50" s="6" t="s">
        <v>95</v>
      </c>
      <c r="J50" s="6">
        <v>2</v>
      </c>
      <c r="K50" s="7" t="str">
        <f t="shared" si="0"/>
        <v>A251</v>
      </c>
      <c r="L50" s="8"/>
      <c r="M50" s="9" t="str">
        <f t="shared" si="1"/>
        <v>FIT1623</v>
      </c>
      <c r="N50" s="9">
        <f t="shared" si="2"/>
        <v>7</v>
      </c>
      <c r="O50" s="9" t="str">
        <f t="shared" si="3"/>
        <v>K/1FIT1623</v>
      </c>
    </row>
    <row r="51" spans="1:15" ht="17.5" x14ac:dyDescent="0.55000000000000004">
      <c r="A51" s="10" t="s">
        <v>91</v>
      </c>
      <c r="B51" s="11" t="s">
        <v>47</v>
      </c>
      <c r="C51" s="11" t="s">
        <v>121</v>
      </c>
      <c r="D51" s="10" t="s">
        <v>107</v>
      </c>
      <c r="E51" s="11" t="s">
        <v>16</v>
      </c>
      <c r="F51" s="11" t="s">
        <v>108</v>
      </c>
      <c r="G51" s="11" t="s">
        <v>97</v>
      </c>
      <c r="H51" s="11">
        <v>20</v>
      </c>
      <c r="I51" s="11" t="s">
        <v>95</v>
      </c>
      <c r="J51" s="11">
        <v>2</v>
      </c>
      <c r="K51" s="7" t="str">
        <f t="shared" si="0"/>
        <v>A251</v>
      </c>
      <c r="L51" s="8"/>
      <c r="M51" s="9" t="str">
        <f t="shared" si="1"/>
        <v>FIT1624</v>
      </c>
      <c r="N51" s="9">
        <f t="shared" si="2"/>
        <v>7</v>
      </c>
      <c r="O51" s="9" t="str">
        <f t="shared" si="3"/>
        <v>K/1FIT1624</v>
      </c>
    </row>
    <row r="52" spans="1:15" ht="17.5" x14ac:dyDescent="0.55000000000000004">
      <c r="A52" s="5" t="s">
        <v>91</v>
      </c>
      <c r="B52" s="6" t="s">
        <v>47</v>
      </c>
      <c r="C52" s="6" t="s">
        <v>121</v>
      </c>
      <c r="D52" s="5" t="s">
        <v>109</v>
      </c>
      <c r="E52" s="6" t="s">
        <v>16</v>
      </c>
      <c r="F52" s="6" t="s">
        <v>110</v>
      </c>
      <c r="G52" s="6" t="s">
        <v>17</v>
      </c>
      <c r="H52" s="6">
        <v>0</v>
      </c>
      <c r="I52" s="6" t="s">
        <v>111</v>
      </c>
      <c r="J52" s="6">
        <v>2</v>
      </c>
      <c r="K52" s="7" t="str">
        <f t="shared" si="0"/>
        <v>A251</v>
      </c>
      <c r="L52" s="8"/>
      <c r="M52" s="9" t="str">
        <f t="shared" si="1"/>
        <v>FIT1625</v>
      </c>
      <c r="N52" s="9">
        <f t="shared" si="2"/>
        <v>7</v>
      </c>
      <c r="O52" s="9" t="str">
        <f t="shared" si="3"/>
        <v>K/1FIT1625</v>
      </c>
    </row>
    <row r="53" spans="1:15" ht="17.5" x14ac:dyDescent="0.55000000000000004">
      <c r="A53" s="10" t="s">
        <v>91</v>
      </c>
      <c r="B53" s="11" t="s">
        <v>47</v>
      </c>
      <c r="C53" s="11" t="s">
        <v>121</v>
      </c>
      <c r="D53" s="10" t="s">
        <v>112</v>
      </c>
      <c r="E53" s="11" t="s">
        <v>16</v>
      </c>
      <c r="F53" s="11" t="s">
        <v>113</v>
      </c>
      <c r="G53" s="11" t="s">
        <v>17</v>
      </c>
      <c r="H53" s="11">
        <v>0</v>
      </c>
      <c r="I53" s="11" t="s">
        <v>111</v>
      </c>
      <c r="J53" s="11">
        <v>2</v>
      </c>
      <c r="K53" s="7" t="str">
        <f t="shared" si="0"/>
        <v>A251</v>
      </c>
      <c r="L53" s="8"/>
      <c r="M53" s="9" t="str">
        <f t="shared" si="1"/>
        <v>FIT1626</v>
      </c>
      <c r="N53" s="9">
        <f t="shared" si="2"/>
        <v>7</v>
      </c>
      <c r="O53" s="9" t="str">
        <f t="shared" si="3"/>
        <v>K/1FIT1626</v>
      </c>
    </row>
    <row r="54" spans="1:15" ht="17.5" x14ac:dyDescent="0.55000000000000004">
      <c r="A54" s="5" t="s">
        <v>91</v>
      </c>
      <c r="B54" s="6" t="s">
        <v>47</v>
      </c>
      <c r="C54" s="6" t="s">
        <v>25</v>
      </c>
      <c r="D54" s="5" t="s">
        <v>123</v>
      </c>
      <c r="E54" s="6" t="s">
        <v>16</v>
      </c>
      <c r="F54" s="6" t="s">
        <v>124</v>
      </c>
      <c r="G54" s="6" t="s">
        <v>118</v>
      </c>
      <c r="H54" s="6">
        <v>20</v>
      </c>
      <c r="I54" s="6" t="s">
        <v>125</v>
      </c>
      <c r="J54" s="6">
        <v>2</v>
      </c>
      <c r="K54" s="7" t="str">
        <f t="shared" si="0"/>
        <v>A251</v>
      </c>
      <c r="L54" s="8"/>
      <c r="M54" s="9" t="str">
        <f t="shared" si="1"/>
        <v>ENT1501</v>
      </c>
      <c r="N54" s="9">
        <f t="shared" si="2"/>
        <v>7</v>
      </c>
      <c r="O54" s="9" t="str">
        <f t="shared" si="3"/>
        <v>K/1ENT1501</v>
      </c>
    </row>
    <row r="55" spans="1:15" ht="17.5" x14ac:dyDescent="0.55000000000000004">
      <c r="A55" s="10" t="s">
        <v>91</v>
      </c>
      <c r="B55" s="11" t="s">
        <v>47</v>
      </c>
      <c r="C55" s="11" t="s">
        <v>49</v>
      </c>
      <c r="D55" s="10" t="s">
        <v>123</v>
      </c>
      <c r="E55" s="11" t="s">
        <v>50</v>
      </c>
      <c r="F55" s="11" t="s">
        <v>124</v>
      </c>
      <c r="G55" s="11" t="s">
        <v>17</v>
      </c>
      <c r="H55" s="11">
        <v>0</v>
      </c>
      <c r="I55" s="11" t="s">
        <v>125</v>
      </c>
      <c r="J55" s="11">
        <v>2</v>
      </c>
      <c r="K55" s="7" t="str">
        <f t="shared" si="0"/>
        <v>A251</v>
      </c>
      <c r="L55" s="8"/>
      <c r="M55" s="9" t="str">
        <f t="shared" si="1"/>
        <v>ENT1501</v>
      </c>
      <c r="N55" s="9">
        <f t="shared" si="2"/>
        <v>7</v>
      </c>
      <c r="O55" s="9" t="str">
        <f t="shared" si="3"/>
        <v>P/1ENT1501</v>
      </c>
    </row>
    <row r="56" spans="1:15" ht="17.5" x14ac:dyDescent="0.55000000000000004">
      <c r="A56" s="5" t="s">
        <v>91</v>
      </c>
      <c r="B56" s="6" t="s">
        <v>52</v>
      </c>
      <c r="C56" s="6" t="s">
        <v>92</v>
      </c>
      <c r="D56" s="5" t="s">
        <v>102</v>
      </c>
      <c r="E56" s="6" t="s">
        <v>50</v>
      </c>
      <c r="F56" s="6" t="s">
        <v>103</v>
      </c>
      <c r="G56" s="6" t="s">
        <v>17</v>
      </c>
      <c r="H56" s="6">
        <v>0</v>
      </c>
      <c r="I56" s="6" t="s">
        <v>95</v>
      </c>
      <c r="J56" s="6">
        <v>2</v>
      </c>
      <c r="K56" s="7" t="str">
        <f t="shared" si="0"/>
        <v>A251</v>
      </c>
      <c r="L56" s="8"/>
      <c r="M56" s="9" t="str">
        <f t="shared" si="1"/>
        <v>FIT1627</v>
      </c>
      <c r="N56" s="9">
        <f t="shared" si="2"/>
        <v>7</v>
      </c>
      <c r="O56" s="9" t="str">
        <f t="shared" si="3"/>
        <v>P/1FIT1627</v>
      </c>
    </row>
    <row r="57" spans="1:15" ht="17.5" x14ac:dyDescent="0.55000000000000004">
      <c r="A57" s="10" t="s">
        <v>91</v>
      </c>
      <c r="B57" s="11" t="s">
        <v>52</v>
      </c>
      <c r="C57" s="11" t="s">
        <v>90</v>
      </c>
      <c r="D57" s="10" t="s">
        <v>115</v>
      </c>
      <c r="E57" s="11" t="s">
        <v>50</v>
      </c>
      <c r="F57" s="11" t="s">
        <v>103</v>
      </c>
      <c r="G57" s="11" t="s">
        <v>17</v>
      </c>
      <c r="H57" s="11">
        <v>0</v>
      </c>
      <c r="I57" s="11" t="s">
        <v>95</v>
      </c>
      <c r="J57" s="11">
        <v>2</v>
      </c>
      <c r="K57" s="7" t="str">
        <f t="shared" si="0"/>
        <v>A251</v>
      </c>
      <c r="L57" s="8"/>
      <c r="M57" s="9" t="str">
        <f t="shared" si="1"/>
        <v>FIT1629</v>
      </c>
      <c r="N57" s="9">
        <f t="shared" si="2"/>
        <v>7</v>
      </c>
      <c r="O57" s="9" t="str">
        <f t="shared" si="3"/>
        <v>P/1FIT1629</v>
      </c>
    </row>
    <row r="58" spans="1:15" ht="17.5" x14ac:dyDescent="0.55000000000000004">
      <c r="A58" s="5" t="s">
        <v>91</v>
      </c>
      <c r="B58" s="6" t="s">
        <v>52</v>
      </c>
      <c r="C58" s="6" t="s">
        <v>90</v>
      </c>
      <c r="D58" s="5" t="s">
        <v>116</v>
      </c>
      <c r="E58" s="6" t="s">
        <v>50</v>
      </c>
      <c r="F58" s="6" t="s">
        <v>117</v>
      </c>
      <c r="G58" s="6" t="s">
        <v>17</v>
      </c>
      <c r="H58" s="6">
        <v>0</v>
      </c>
      <c r="I58" s="6" t="s">
        <v>111</v>
      </c>
      <c r="J58" s="6">
        <v>2</v>
      </c>
      <c r="K58" s="7" t="str">
        <f t="shared" si="0"/>
        <v>A251</v>
      </c>
      <c r="L58" s="8"/>
      <c r="M58" s="9" t="str">
        <f t="shared" si="1"/>
        <v>FIT1653</v>
      </c>
      <c r="N58" s="9">
        <f t="shared" si="2"/>
        <v>7</v>
      </c>
      <c r="O58" s="9" t="str">
        <f t="shared" si="3"/>
        <v>P/1FIT1653</v>
      </c>
    </row>
    <row r="59" spans="1:15" ht="17.5" x14ac:dyDescent="0.55000000000000004">
      <c r="A59" s="10" t="s">
        <v>126</v>
      </c>
      <c r="B59" s="11" t="s">
        <v>13</v>
      </c>
      <c r="C59" s="11" t="s">
        <v>14</v>
      </c>
      <c r="D59" s="10" t="s">
        <v>127</v>
      </c>
      <c r="E59" s="11" t="s">
        <v>16</v>
      </c>
      <c r="F59" s="11" t="s">
        <v>128</v>
      </c>
      <c r="G59" s="11" t="s">
        <v>17</v>
      </c>
      <c r="H59" s="11">
        <v>0</v>
      </c>
      <c r="I59" s="11" t="s">
        <v>129</v>
      </c>
      <c r="J59" s="11">
        <v>1</v>
      </c>
      <c r="K59" s="7" t="str">
        <f t="shared" si="0"/>
        <v>A252</v>
      </c>
      <c r="L59" s="8"/>
      <c r="M59" s="9" t="str">
        <f t="shared" si="1"/>
        <v>AGH1628</v>
      </c>
      <c r="N59" s="9">
        <f t="shared" si="2"/>
        <v>7</v>
      </c>
      <c r="O59" s="9" t="str">
        <f t="shared" si="3"/>
        <v>K/1AGH1628</v>
      </c>
    </row>
    <row r="60" spans="1:15" ht="17.5" x14ac:dyDescent="0.55000000000000004">
      <c r="A60" s="5" t="s">
        <v>126</v>
      </c>
      <c r="B60" s="6" t="s">
        <v>13</v>
      </c>
      <c r="C60" s="6" t="s">
        <v>25</v>
      </c>
      <c r="D60" s="5" t="s">
        <v>130</v>
      </c>
      <c r="E60" s="6" t="s">
        <v>16</v>
      </c>
      <c r="F60" s="6" t="s">
        <v>131</v>
      </c>
      <c r="G60" s="6" t="s">
        <v>17</v>
      </c>
      <c r="H60" s="6">
        <v>0</v>
      </c>
      <c r="I60" s="6" t="s">
        <v>129</v>
      </c>
      <c r="J60" s="6">
        <v>1</v>
      </c>
      <c r="K60" s="7" t="str">
        <f t="shared" si="0"/>
        <v>A252</v>
      </c>
      <c r="L60" s="8"/>
      <c r="M60" s="9" t="str">
        <f t="shared" si="1"/>
        <v>AGH1602</v>
      </c>
      <c r="N60" s="9">
        <f t="shared" si="2"/>
        <v>7</v>
      </c>
      <c r="O60" s="9" t="str">
        <f t="shared" si="3"/>
        <v>K/1AGH1602</v>
      </c>
    </row>
    <row r="61" spans="1:15" ht="17.5" x14ac:dyDescent="0.55000000000000004">
      <c r="A61" s="10" t="s">
        <v>126</v>
      </c>
      <c r="B61" s="11" t="s">
        <v>31</v>
      </c>
      <c r="C61" s="11" t="s">
        <v>132</v>
      </c>
      <c r="D61" s="10" t="s">
        <v>133</v>
      </c>
      <c r="E61" s="11" t="s">
        <v>16</v>
      </c>
      <c r="F61" s="11" t="s">
        <v>134</v>
      </c>
      <c r="G61" s="11" t="s">
        <v>17</v>
      </c>
      <c r="H61" s="11">
        <v>0</v>
      </c>
      <c r="I61" s="11" t="s">
        <v>129</v>
      </c>
      <c r="J61" s="11">
        <v>1</v>
      </c>
      <c r="K61" s="7" t="str">
        <f t="shared" si="0"/>
        <v>A252</v>
      </c>
      <c r="L61" s="8"/>
      <c r="M61" s="9" t="str">
        <f t="shared" si="1"/>
        <v>AGH1624</v>
      </c>
      <c r="N61" s="9">
        <f t="shared" si="2"/>
        <v>7</v>
      </c>
      <c r="O61" s="9" t="str">
        <f t="shared" si="3"/>
        <v>K/1AGH1624</v>
      </c>
    </row>
    <row r="62" spans="1:15" ht="17.5" x14ac:dyDescent="0.55000000000000004">
      <c r="A62" s="5" t="s">
        <v>126</v>
      </c>
      <c r="B62" s="6" t="s">
        <v>31</v>
      </c>
      <c r="C62" s="6" t="s">
        <v>135</v>
      </c>
      <c r="D62" s="5" t="s">
        <v>133</v>
      </c>
      <c r="E62" s="6" t="s">
        <v>50</v>
      </c>
      <c r="F62" s="6" t="s">
        <v>134</v>
      </c>
      <c r="G62" s="6" t="s">
        <v>17</v>
      </c>
      <c r="H62" s="6">
        <v>0</v>
      </c>
      <c r="I62" s="6" t="s">
        <v>129</v>
      </c>
      <c r="J62" s="6">
        <v>1</v>
      </c>
      <c r="K62" s="7" t="str">
        <f t="shared" si="0"/>
        <v>A252</v>
      </c>
      <c r="L62" s="8"/>
      <c r="M62" s="9" t="str">
        <f t="shared" si="1"/>
        <v>AGH1624</v>
      </c>
      <c r="N62" s="9">
        <f t="shared" si="2"/>
        <v>7</v>
      </c>
      <c r="O62" s="9" t="str">
        <f t="shared" si="3"/>
        <v>P/1AGH1624</v>
      </c>
    </row>
    <row r="63" spans="1:15" ht="17.5" x14ac:dyDescent="0.55000000000000004">
      <c r="A63" s="10" t="s">
        <v>126</v>
      </c>
      <c r="B63" s="11" t="s">
        <v>31</v>
      </c>
      <c r="C63" s="11" t="s">
        <v>64</v>
      </c>
      <c r="D63" s="10" t="s">
        <v>136</v>
      </c>
      <c r="E63" s="11" t="s">
        <v>16</v>
      </c>
      <c r="F63" s="11" t="s">
        <v>137</v>
      </c>
      <c r="G63" s="11" t="s">
        <v>17</v>
      </c>
      <c r="H63" s="11">
        <v>0</v>
      </c>
      <c r="I63" s="11" t="s">
        <v>129</v>
      </c>
      <c r="J63" s="11">
        <v>1</v>
      </c>
      <c r="K63" s="7" t="str">
        <f t="shared" si="0"/>
        <v>A252</v>
      </c>
      <c r="L63" s="8"/>
      <c r="M63" s="9" t="str">
        <f t="shared" si="1"/>
        <v>AGH1642</v>
      </c>
      <c r="N63" s="9">
        <f t="shared" si="2"/>
        <v>7</v>
      </c>
      <c r="O63" s="9" t="str">
        <f t="shared" si="3"/>
        <v>K/1AGH1642</v>
      </c>
    </row>
    <row r="64" spans="1:15" ht="17.5" x14ac:dyDescent="0.55000000000000004">
      <c r="A64" s="5" t="s">
        <v>126</v>
      </c>
      <c r="B64" s="6" t="s">
        <v>31</v>
      </c>
      <c r="C64" s="6" t="s">
        <v>138</v>
      </c>
      <c r="D64" s="5" t="s">
        <v>136</v>
      </c>
      <c r="E64" s="6" t="s">
        <v>50</v>
      </c>
      <c r="F64" s="6" t="s">
        <v>137</v>
      </c>
      <c r="G64" s="6" t="s">
        <v>17</v>
      </c>
      <c r="H64" s="6">
        <v>0</v>
      </c>
      <c r="I64" s="6" t="s">
        <v>129</v>
      </c>
      <c r="J64" s="6">
        <v>1</v>
      </c>
      <c r="K64" s="7" t="str">
        <f t="shared" si="0"/>
        <v>A252</v>
      </c>
      <c r="L64" s="8"/>
      <c r="M64" s="9" t="str">
        <f t="shared" si="1"/>
        <v>AGH1642</v>
      </c>
      <c r="N64" s="9">
        <f t="shared" si="2"/>
        <v>7</v>
      </c>
      <c r="O64" s="9" t="str">
        <f t="shared" si="3"/>
        <v>P/1AGH1642</v>
      </c>
    </row>
    <row r="65" spans="1:15" ht="17.5" x14ac:dyDescent="0.55000000000000004">
      <c r="A65" s="10" t="s">
        <v>126</v>
      </c>
      <c r="B65" s="11" t="s">
        <v>41</v>
      </c>
      <c r="C65" s="11" t="s">
        <v>139</v>
      </c>
      <c r="D65" s="10" t="s">
        <v>140</v>
      </c>
      <c r="E65" s="11" t="s">
        <v>16</v>
      </c>
      <c r="F65" s="11" t="s">
        <v>141</v>
      </c>
      <c r="G65" s="11" t="s">
        <v>142</v>
      </c>
      <c r="H65" s="11">
        <v>20</v>
      </c>
      <c r="I65" s="11" t="s">
        <v>143</v>
      </c>
      <c r="J65" s="11">
        <v>1</v>
      </c>
      <c r="K65" s="7" t="str">
        <f t="shared" si="0"/>
        <v>A252</v>
      </c>
      <c r="L65" s="8"/>
      <c r="M65" s="9" t="str">
        <f t="shared" si="1"/>
        <v>AGH1501</v>
      </c>
      <c r="N65" s="9">
        <f t="shared" si="2"/>
        <v>7</v>
      </c>
      <c r="O65" s="9" t="str">
        <f t="shared" si="3"/>
        <v>K/1AGH1501</v>
      </c>
    </row>
    <row r="66" spans="1:15" ht="17.5" x14ac:dyDescent="0.55000000000000004">
      <c r="A66" s="5" t="s">
        <v>126</v>
      </c>
      <c r="B66" s="6" t="s">
        <v>41</v>
      </c>
      <c r="C66" s="6" t="s">
        <v>49</v>
      </c>
      <c r="D66" s="5" t="s">
        <v>140</v>
      </c>
      <c r="E66" s="6" t="s">
        <v>50</v>
      </c>
      <c r="F66" s="6" t="s">
        <v>141</v>
      </c>
      <c r="G66" s="6" t="s">
        <v>142</v>
      </c>
      <c r="H66" s="6">
        <v>20</v>
      </c>
      <c r="I66" s="6" t="s">
        <v>143</v>
      </c>
      <c r="J66" s="6">
        <v>1</v>
      </c>
      <c r="K66" s="7" t="str">
        <f t="shared" si="0"/>
        <v>A252</v>
      </c>
      <c r="L66" s="8"/>
      <c r="M66" s="9" t="str">
        <f t="shared" si="1"/>
        <v>AGH1501</v>
      </c>
      <c r="N66" s="9">
        <f t="shared" si="2"/>
        <v>7</v>
      </c>
      <c r="O66" s="9" t="str">
        <f t="shared" si="3"/>
        <v>P/1AGH1501</v>
      </c>
    </row>
    <row r="67" spans="1:15" ht="17.5" x14ac:dyDescent="0.55000000000000004">
      <c r="A67" s="10" t="s">
        <v>126</v>
      </c>
      <c r="B67" s="11" t="s">
        <v>41</v>
      </c>
      <c r="C67" s="11" t="s">
        <v>49</v>
      </c>
      <c r="D67" s="10" t="s">
        <v>130</v>
      </c>
      <c r="E67" s="11" t="s">
        <v>50</v>
      </c>
      <c r="F67" s="11" t="s">
        <v>131</v>
      </c>
      <c r="G67" s="11" t="s">
        <v>17</v>
      </c>
      <c r="H67" s="11">
        <v>0</v>
      </c>
      <c r="I67" s="11" t="s">
        <v>129</v>
      </c>
      <c r="J67" s="11">
        <v>1</v>
      </c>
      <c r="K67" s="7" t="str">
        <f t="shared" si="0"/>
        <v>A252</v>
      </c>
      <c r="L67" s="8"/>
      <c r="M67" s="9" t="str">
        <f t="shared" si="1"/>
        <v>AGH1602</v>
      </c>
      <c r="N67" s="9">
        <f t="shared" si="2"/>
        <v>7</v>
      </c>
      <c r="O67" s="9" t="str">
        <f t="shared" si="3"/>
        <v>P/1AGH1602</v>
      </c>
    </row>
    <row r="68" spans="1:15" ht="17.5" x14ac:dyDescent="0.55000000000000004">
      <c r="A68" s="5" t="s">
        <v>126</v>
      </c>
      <c r="B68" s="6" t="s">
        <v>41</v>
      </c>
      <c r="C68" s="6" t="s">
        <v>49</v>
      </c>
      <c r="D68" s="5" t="s">
        <v>130</v>
      </c>
      <c r="E68" s="6" t="s">
        <v>144</v>
      </c>
      <c r="F68" s="6" t="s">
        <v>131</v>
      </c>
      <c r="G68" s="6" t="s">
        <v>17</v>
      </c>
      <c r="H68" s="6">
        <v>0</v>
      </c>
      <c r="I68" s="6" t="s">
        <v>129</v>
      </c>
      <c r="J68" s="6">
        <v>1</v>
      </c>
      <c r="K68" s="7" t="str">
        <f t="shared" si="0"/>
        <v>A252</v>
      </c>
      <c r="L68" s="8"/>
      <c r="M68" s="9" t="str">
        <f t="shared" si="1"/>
        <v>AGH1602</v>
      </c>
      <c r="N68" s="9">
        <f t="shared" si="2"/>
        <v>7</v>
      </c>
      <c r="O68" s="9" t="str">
        <f t="shared" si="3"/>
        <v>P/2AGH1602</v>
      </c>
    </row>
    <row r="69" spans="1:15" ht="17.5" x14ac:dyDescent="0.55000000000000004">
      <c r="A69" s="10" t="s">
        <v>126</v>
      </c>
      <c r="B69" s="11" t="s">
        <v>47</v>
      </c>
      <c r="C69" s="11" t="s">
        <v>14</v>
      </c>
      <c r="D69" s="10" t="s">
        <v>145</v>
      </c>
      <c r="E69" s="11" t="s">
        <v>16</v>
      </c>
      <c r="F69" s="11" t="s">
        <v>146</v>
      </c>
      <c r="G69" s="11" t="s">
        <v>17</v>
      </c>
      <c r="H69" s="11">
        <v>0</v>
      </c>
      <c r="I69" s="11" t="s">
        <v>129</v>
      </c>
      <c r="J69" s="11">
        <v>1</v>
      </c>
      <c r="K69" s="7" t="str">
        <f t="shared" si="0"/>
        <v>A252</v>
      </c>
      <c r="L69" s="8"/>
      <c r="M69" s="9" t="str">
        <f t="shared" si="1"/>
        <v>AGH1626</v>
      </c>
      <c r="N69" s="9">
        <f t="shared" si="2"/>
        <v>7</v>
      </c>
      <c r="O69" s="9" t="str">
        <f t="shared" si="3"/>
        <v>K/1AGH1626</v>
      </c>
    </row>
    <row r="70" spans="1:15" ht="17.5" x14ac:dyDescent="0.55000000000000004">
      <c r="A70" s="5" t="s">
        <v>126</v>
      </c>
      <c r="B70" s="6" t="s">
        <v>47</v>
      </c>
      <c r="C70" s="6" t="s">
        <v>147</v>
      </c>
      <c r="D70" s="5" t="s">
        <v>145</v>
      </c>
      <c r="E70" s="6" t="s">
        <v>50</v>
      </c>
      <c r="F70" s="6" t="s">
        <v>146</v>
      </c>
      <c r="G70" s="6" t="s">
        <v>17</v>
      </c>
      <c r="H70" s="6">
        <v>0</v>
      </c>
      <c r="I70" s="6" t="s">
        <v>129</v>
      </c>
      <c r="J70" s="6">
        <v>1</v>
      </c>
      <c r="K70" s="7" t="str">
        <f t="shared" si="0"/>
        <v>A252</v>
      </c>
      <c r="L70" s="8"/>
      <c r="M70" s="9" t="str">
        <f t="shared" si="1"/>
        <v>AGH1626</v>
      </c>
      <c r="N70" s="9">
        <f t="shared" si="2"/>
        <v>7</v>
      </c>
      <c r="O70" s="9" t="str">
        <f t="shared" si="3"/>
        <v>P/1AGH1626</v>
      </c>
    </row>
    <row r="71" spans="1:15" ht="17.5" x14ac:dyDescent="0.55000000000000004">
      <c r="A71" s="10" t="s">
        <v>126</v>
      </c>
      <c r="B71" s="11" t="s">
        <v>47</v>
      </c>
      <c r="C71" s="11" t="s">
        <v>64</v>
      </c>
      <c r="D71" s="10" t="s">
        <v>148</v>
      </c>
      <c r="E71" s="11" t="s">
        <v>16</v>
      </c>
      <c r="F71" s="11" t="s">
        <v>149</v>
      </c>
      <c r="G71" s="11" t="s">
        <v>17</v>
      </c>
      <c r="H71" s="11">
        <v>0</v>
      </c>
      <c r="I71" s="11" t="s">
        <v>129</v>
      </c>
      <c r="J71" s="11">
        <v>1</v>
      </c>
      <c r="K71" s="7" t="str">
        <f t="shared" si="0"/>
        <v>A252</v>
      </c>
      <c r="L71" s="8"/>
      <c r="M71" s="9" t="str">
        <f t="shared" si="1"/>
        <v>AGH162E</v>
      </c>
      <c r="N71" s="9">
        <f t="shared" si="2"/>
        <v>7</v>
      </c>
      <c r="O71" s="9" t="str">
        <f t="shared" si="3"/>
        <v>K/1AGH162E</v>
      </c>
    </row>
    <row r="72" spans="1:15" ht="17.5" x14ac:dyDescent="0.55000000000000004">
      <c r="A72" s="5" t="s">
        <v>126</v>
      </c>
      <c r="B72" s="6" t="s">
        <v>47</v>
      </c>
      <c r="C72" s="6" t="s">
        <v>49</v>
      </c>
      <c r="D72" s="5" t="s">
        <v>127</v>
      </c>
      <c r="E72" s="6" t="s">
        <v>50</v>
      </c>
      <c r="F72" s="6" t="s">
        <v>128</v>
      </c>
      <c r="G72" s="6" t="s">
        <v>17</v>
      </c>
      <c r="H72" s="6">
        <v>0</v>
      </c>
      <c r="I72" s="6" t="s">
        <v>129</v>
      </c>
      <c r="J72" s="6">
        <v>1</v>
      </c>
      <c r="K72" s="7" t="str">
        <f t="shared" si="0"/>
        <v>A252</v>
      </c>
      <c r="L72" s="8"/>
      <c r="M72" s="9" t="str">
        <f t="shared" si="1"/>
        <v>AGH1628</v>
      </c>
      <c r="N72" s="9">
        <f t="shared" si="2"/>
        <v>7</v>
      </c>
      <c r="O72" s="9" t="str">
        <f t="shared" si="3"/>
        <v>P/1AGH1628</v>
      </c>
    </row>
    <row r="73" spans="1:15" ht="17.5" x14ac:dyDescent="0.55000000000000004">
      <c r="A73" s="10" t="s">
        <v>126</v>
      </c>
      <c r="B73" s="11" t="s">
        <v>47</v>
      </c>
      <c r="C73" s="11" t="s">
        <v>150</v>
      </c>
      <c r="D73" s="10" t="s">
        <v>148</v>
      </c>
      <c r="E73" s="11" t="s">
        <v>50</v>
      </c>
      <c r="F73" s="11" t="s">
        <v>149</v>
      </c>
      <c r="G73" s="11" t="s">
        <v>17</v>
      </c>
      <c r="H73" s="11">
        <v>0</v>
      </c>
      <c r="I73" s="11" t="s">
        <v>129</v>
      </c>
      <c r="J73" s="11">
        <v>1</v>
      </c>
      <c r="K73" s="7" t="str">
        <f t="shared" si="0"/>
        <v>A252</v>
      </c>
      <c r="L73" s="8"/>
      <c r="M73" s="9" t="str">
        <f t="shared" si="1"/>
        <v>AGH162E</v>
      </c>
      <c r="N73" s="9">
        <f t="shared" si="2"/>
        <v>7</v>
      </c>
      <c r="O73" s="9" t="str">
        <f t="shared" si="3"/>
        <v>P/1AGH162E</v>
      </c>
    </row>
    <row r="74" spans="1:15" ht="17.5" x14ac:dyDescent="0.55000000000000004">
      <c r="A74" s="5" t="s">
        <v>126</v>
      </c>
      <c r="B74" s="6" t="s">
        <v>52</v>
      </c>
      <c r="C74" s="6" t="s">
        <v>151</v>
      </c>
      <c r="D74" s="5" t="s">
        <v>152</v>
      </c>
      <c r="E74" s="6" t="s">
        <v>50</v>
      </c>
      <c r="F74" s="6" t="s">
        <v>153</v>
      </c>
      <c r="G74" s="6" t="s">
        <v>17</v>
      </c>
      <c r="H74" s="6">
        <v>0</v>
      </c>
      <c r="I74" s="6" t="s">
        <v>129</v>
      </c>
      <c r="J74" s="6">
        <v>1</v>
      </c>
      <c r="K74" s="7" t="str">
        <f t="shared" si="0"/>
        <v>A252</v>
      </c>
      <c r="L74" s="8"/>
      <c r="M74" s="9" t="str">
        <f t="shared" si="1"/>
        <v>AGH1503</v>
      </c>
      <c r="N74" s="9">
        <f t="shared" si="2"/>
        <v>7</v>
      </c>
      <c r="O74" s="9" t="str">
        <f t="shared" si="3"/>
        <v>P/1AGH1503</v>
      </c>
    </row>
    <row r="75" spans="1:15" ht="17.5" x14ac:dyDescent="0.55000000000000004">
      <c r="A75" s="10" t="s">
        <v>126</v>
      </c>
      <c r="B75" s="11" t="s">
        <v>52</v>
      </c>
      <c r="C75" s="11" t="s">
        <v>151</v>
      </c>
      <c r="D75" s="10" t="s">
        <v>152</v>
      </c>
      <c r="E75" s="11" t="s">
        <v>144</v>
      </c>
      <c r="F75" s="11" t="s">
        <v>153</v>
      </c>
      <c r="G75" s="11" t="s">
        <v>17</v>
      </c>
      <c r="H75" s="11">
        <v>0</v>
      </c>
      <c r="I75" s="11" t="s">
        <v>129</v>
      </c>
      <c r="J75" s="11">
        <v>1</v>
      </c>
      <c r="K75" s="7" t="str">
        <f t="shared" si="0"/>
        <v>A252</v>
      </c>
      <c r="L75" s="8"/>
      <c r="M75" s="9" t="str">
        <f t="shared" si="1"/>
        <v>AGH1503</v>
      </c>
      <c r="N75" s="9">
        <f t="shared" si="2"/>
        <v>7</v>
      </c>
      <c r="O75" s="9" t="str">
        <f t="shared" si="3"/>
        <v>P/2AGH1503</v>
      </c>
    </row>
    <row r="76" spans="1:15" ht="17.5" x14ac:dyDescent="0.55000000000000004">
      <c r="A76" s="5" t="s">
        <v>126</v>
      </c>
      <c r="B76" s="6" t="s">
        <v>52</v>
      </c>
      <c r="C76" s="6" t="s">
        <v>154</v>
      </c>
      <c r="D76" s="5" t="s">
        <v>152</v>
      </c>
      <c r="E76" s="6" t="s">
        <v>16</v>
      </c>
      <c r="F76" s="6" t="s">
        <v>153</v>
      </c>
      <c r="G76" s="6" t="s">
        <v>17</v>
      </c>
      <c r="H76" s="6">
        <v>0</v>
      </c>
      <c r="I76" s="6" t="s">
        <v>129</v>
      </c>
      <c r="J76" s="6">
        <v>1</v>
      </c>
      <c r="K76" s="7" t="str">
        <f t="shared" si="0"/>
        <v>A252</v>
      </c>
      <c r="L76" s="8"/>
      <c r="M76" s="9" t="str">
        <f t="shared" si="1"/>
        <v>AGH1503</v>
      </c>
      <c r="N76" s="9">
        <f t="shared" si="2"/>
        <v>7</v>
      </c>
      <c r="O76" s="9" t="str">
        <f t="shared" si="3"/>
        <v>K/1AGH1503</v>
      </c>
    </row>
    <row r="77" spans="1:15" ht="17.5" x14ac:dyDescent="0.55000000000000004">
      <c r="A77" s="10" t="s">
        <v>126</v>
      </c>
      <c r="B77" s="11" t="s">
        <v>52</v>
      </c>
      <c r="C77" s="11" t="s">
        <v>154</v>
      </c>
      <c r="D77" s="10" t="s">
        <v>152</v>
      </c>
      <c r="E77" s="11" t="s">
        <v>155</v>
      </c>
      <c r="F77" s="11" t="s">
        <v>153</v>
      </c>
      <c r="G77" s="11" t="s">
        <v>17</v>
      </c>
      <c r="H77" s="11">
        <v>0</v>
      </c>
      <c r="I77" s="11" t="s">
        <v>129</v>
      </c>
      <c r="J77" s="11">
        <v>1</v>
      </c>
      <c r="K77" s="7" t="str">
        <f t="shared" si="0"/>
        <v>A252</v>
      </c>
      <c r="L77" s="8"/>
      <c r="M77" s="9" t="str">
        <f t="shared" si="1"/>
        <v>AGH1503</v>
      </c>
      <c r="N77" s="9">
        <f t="shared" si="2"/>
        <v>7</v>
      </c>
      <c r="O77" s="9" t="str">
        <f t="shared" si="3"/>
        <v>K/2AGH1503</v>
      </c>
    </row>
    <row r="78" spans="1:15" ht="17.5" x14ac:dyDescent="0.55000000000000004">
      <c r="A78" s="5" t="s">
        <v>156</v>
      </c>
      <c r="B78" s="5" t="s">
        <v>13</v>
      </c>
      <c r="C78" s="5" t="s">
        <v>14</v>
      </c>
      <c r="D78" s="5" t="s">
        <v>157</v>
      </c>
      <c r="E78" s="6" t="s">
        <v>16</v>
      </c>
      <c r="F78" s="5" t="s">
        <v>158</v>
      </c>
      <c r="G78" s="5" t="s">
        <v>17</v>
      </c>
      <c r="H78" s="6">
        <v>0</v>
      </c>
      <c r="I78" s="5" t="s">
        <v>159</v>
      </c>
      <c r="J78" s="6">
        <v>2</v>
      </c>
      <c r="K78" s="7" t="str">
        <f t="shared" si="0"/>
        <v>A253</v>
      </c>
      <c r="L78" s="8"/>
      <c r="M78" s="9" t="str">
        <f t="shared" si="1"/>
        <v>PBT1501</v>
      </c>
      <c r="N78" s="9">
        <f t="shared" si="2"/>
        <v>7</v>
      </c>
      <c r="O78" s="9" t="str">
        <f t="shared" si="3"/>
        <v>K/1PBT1501</v>
      </c>
    </row>
    <row r="79" spans="1:15" ht="17.5" x14ac:dyDescent="0.55000000000000004">
      <c r="A79" s="10" t="s">
        <v>156</v>
      </c>
      <c r="B79" s="10" t="s">
        <v>13</v>
      </c>
      <c r="C79" s="10" t="s">
        <v>14</v>
      </c>
      <c r="D79" s="10" t="s">
        <v>160</v>
      </c>
      <c r="E79" s="11" t="s">
        <v>16</v>
      </c>
      <c r="F79" s="10" t="s">
        <v>161</v>
      </c>
      <c r="G79" s="10" t="s">
        <v>17</v>
      </c>
      <c r="H79" s="11">
        <v>0</v>
      </c>
      <c r="I79" s="10" t="s">
        <v>159</v>
      </c>
      <c r="J79" s="11">
        <v>1</v>
      </c>
      <c r="K79" s="7" t="str">
        <f t="shared" si="0"/>
        <v>A253</v>
      </c>
      <c r="L79" s="8"/>
      <c r="M79" s="9" t="str">
        <f t="shared" si="1"/>
        <v>PBT1636</v>
      </c>
      <c r="N79" s="9">
        <f t="shared" si="2"/>
        <v>7</v>
      </c>
      <c r="O79" s="9" t="str">
        <f t="shared" si="3"/>
        <v>K/1PBT1636</v>
      </c>
    </row>
    <row r="80" spans="1:15" ht="17.5" x14ac:dyDescent="0.55000000000000004">
      <c r="A80" s="5" t="s">
        <v>156</v>
      </c>
      <c r="B80" s="5" t="s">
        <v>13</v>
      </c>
      <c r="C80" s="5" t="s">
        <v>147</v>
      </c>
      <c r="D80" s="5" t="s">
        <v>157</v>
      </c>
      <c r="E80" s="6" t="s">
        <v>50</v>
      </c>
      <c r="F80" s="5" t="s">
        <v>158</v>
      </c>
      <c r="G80" s="5" t="s">
        <v>17</v>
      </c>
      <c r="H80" s="6">
        <v>0</v>
      </c>
      <c r="I80" s="5" t="s">
        <v>159</v>
      </c>
      <c r="J80" s="6">
        <v>1</v>
      </c>
      <c r="K80" s="7" t="str">
        <f t="shared" si="0"/>
        <v>A253</v>
      </c>
      <c r="L80" s="8"/>
      <c r="M80" s="9" t="str">
        <f t="shared" si="1"/>
        <v>PBT1501</v>
      </c>
      <c r="N80" s="9">
        <f t="shared" si="2"/>
        <v>7</v>
      </c>
      <c r="O80" s="9" t="str">
        <f t="shared" si="3"/>
        <v>P/1PBT1501</v>
      </c>
    </row>
    <row r="81" spans="1:15" ht="17.5" x14ac:dyDescent="0.55000000000000004">
      <c r="A81" s="10" t="s">
        <v>156</v>
      </c>
      <c r="B81" s="10" t="s">
        <v>13</v>
      </c>
      <c r="C81" s="10" t="s">
        <v>147</v>
      </c>
      <c r="D81" s="10" t="s">
        <v>160</v>
      </c>
      <c r="E81" s="11" t="s">
        <v>50</v>
      </c>
      <c r="F81" s="10" t="s">
        <v>161</v>
      </c>
      <c r="G81" s="10" t="s">
        <v>17</v>
      </c>
      <c r="H81" s="11">
        <v>0</v>
      </c>
      <c r="I81" s="10" t="s">
        <v>159</v>
      </c>
      <c r="J81" s="11">
        <v>1</v>
      </c>
      <c r="K81" s="7" t="str">
        <f t="shared" si="0"/>
        <v>A253</v>
      </c>
      <c r="L81" s="8"/>
      <c r="M81" s="9" t="str">
        <f t="shared" si="1"/>
        <v>PBT1636</v>
      </c>
      <c r="N81" s="9">
        <f t="shared" si="2"/>
        <v>7</v>
      </c>
      <c r="O81" s="9" t="str">
        <f t="shared" si="3"/>
        <v>P/1PBT1636</v>
      </c>
    </row>
    <row r="82" spans="1:15" ht="17.5" x14ac:dyDescent="0.55000000000000004">
      <c r="A82" s="5" t="s">
        <v>156</v>
      </c>
      <c r="B82" s="5" t="s">
        <v>13</v>
      </c>
      <c r="C82" s="5" t="s">
        <v>38</v>
      </c>
      <c r="D82" s="5" t="s">
        <v>162</v>
      </c>
      <c r="E82" s="6" t="s">
        <v>16</v>
      </c>
      <c r="F82" s="5" t="s">
        <v>163</v>
      </c>
      <c r="G82" s="5" t="s">
        <v>17</v>
      </c>
      <c r="H82" s="6">
        <v>0</v>
      </c>
      <c r="I82" s="5" t="s">
        <v>159</v>
      </c>
      <c r="J82" s="6">
        <v>1</v>
      </c>
      <c r="K82" s="7" t="str">
        <f t="shared" si="0"/>
        <v>A253</v>
      </c>
      <c r="L82" s="8"/>
      <c r="M82" s="9" t="str">
        <f t="shared" si="1"/>
        <v>PBT1611</v>
      </c>
      <c r="N82" s="9">
        <f t="shared" si="2"/>
        <v>7</v>
      </c>
      <c r="O82" s="9" t="str">
        <f t="shared" si="3"/>
        <v>K/1PBT1611</v>
      </c>
    </row>
    <row r="83" spans="1:15" ht="17.5" x14ac:dyDescent="0.55000000000000004">
      <c r="A83" s="10" t="s">
        <v>156</v>
      </c>
      <c r="B83" s="10" t="s">
        <v>31</v>
      </c>
      <c r="C83" s="10" t="s">
        <v>92</v>
      </c>
      <c r="D83" s="10" t="s">
        <v>164</v>
      </c>
      <c r="E83" s="11" t="s">
        <v>50</v>
      </c>
      <c r="F83" s="10" t="s">
        <v>165</v>
      </c>
      <c r="G83" s="10" t="s">
        <v>17</v>
      </c>
      <c r="H83" s="11">
        <v>0</v>
      </c>
      <c r="I83" s="10" t="s">
        <v>159</v>
      </c>
      <c r="J83" s="11">
        <v>1</v>
      </c>
      <c r="K83" s="7" t="str">
        <f t="shared" si="0"/>
        <v>A253</v>
      </c>
      <c r="L83" s="8"/>
      <c r="M83" s="9" t="str">
        <f t="shared" si="1"/>
        <v>PBT1602</v>
      </c>
      <c r="N83" s="9">
        <f t="shared" si="2"/>
        <v>7</v>
      </c>
      <c r="O83" s="9" t="str">
        <f t="shared" si="3"/>
        <v>P/1PBT1602</v>
      </c>
    </row>
    <row r="84" spans="1:15" ht="17.5" x14ac:dyDescent="0.55000000000000004">
      <c r="A84" s="5" t="s">
        <v>156</v>
      </c>
      <c r="B84" s="5" t="s">
        <v>31</v>
      </c>
      <c r="C84" s="5" t="s">
        <v>92</v>
      </c>
      <c r="D84" s="5" t="s">
        <v>164</v>
      </c>
      <c r="E84" s="6" t="s">
        <v>144</v>
      </c>
      <c r="F84" s="5" t="s">
        <v>165</v>
      </c>
      <c r="G84" s="5" t="s">
        <v>17</v>
      </c>
      <c r="H84" s="6">
        <v>0</v>
      </c>
      <c r="I84" s="5" t="s">
        <v>159</v>
      </c>
      <c r="J84" s="6">
        <v>1</v>
      </c>
      <c r="K84" s="7" t="str">
        <f t="shared" si="0"/>
        <v>A253</v>
      </c>
      <c r="L84" s="8"/>
      <c r="M84" s="9" t="str">
        <f t="shared" si="1"/>
        <v>PBT1602</v>
      </c>
      <c r="N84" s="9">
        <f t="shared" si="2"/>
        <v>7</v>
      </c>
      <c r="O84" s="9" t="str">
        <f t="shared" si="3"/>
        <v>P/2PBT1602</v>
      </c>
    </row>
    <row r="85" spans="1:15" ht="17.5" x14ac:dyDescent="0.55000000000000004">
      <c r="A85" s="10" t="s">
        <v>156</v>
      </c>
      <c r="B85" s="10" t="s">
        <v>31</v>
      </c>
      <c r="C85" s="10" t="s">
        <v>166</v>
      </c>
      <c r="D85" s="10" t="s">
        <v>164</v>
      </c>
      <c r="E85" s="11" t="s">
        <v>16</v>
      </c>
      <c r="F85" s="10" t="s">
        <v>165</v>
      </c>
      <c r="G85" s="10" t="s">
        <v>17</v>
      </c>
      <c r="H85" s="11">
        <v>0</v>
      </c>
      <c r="I85" s="10" t="s">
        <v>159</v>
      </c>
      <c r="J85" s="11">
        <v>1</v>
      </c>
      <c r="K85" s="7" t="str">
        <f t="shared" si="0"/>
        <v>A253</v>
      </c>
      <c r="L85" s="8"/>
      <c r="M85" s="9" t="str">
        <f t="shared" si="1"/>
        <v>PBT1602</v>
      </c>
      <c r="N85" s="9">
        <f t="shared" si="2"/>
        <v>7</v>
      </c>
      <c r="O85" s="9" t="str">
        <f t="shared" si="3"/>
        <v>K/1PBT1602</v>
      </c>
    </row>
    <row r="86" spans="1:15" ht="17.5" x14ac:dyDescent="0.55000000000000004">
      <c r="A86" s="5" t="s">
        <v>156</v>
      </c>
      <c r="B86" s="5" t="s">
        <v>31</v>
      </c>
      <c r="C86" s="5" t="s">
        <v>64</v>
      </c>
      <c r="D86" s="5" t="s">
        <v>167</v>
      </c>
      <c r="E86" s="6" t="s">
        <v>16</v>
      </c>
      <c r="F86" s="5" t="s">
        <v>168</v>
      </c>
      <c r="G86" s="5" t="s">
        <v>17</v>
      </c>
      <c r="H86" s="6">
        <v>0</v>
      </c>
      <c r="I86" s="5" t="s">
        <v>159</v>
      </c>
      <c r="J86" s="6">
        <v>1</v>
      </c>
      <c r="K86" s="7" t="str">
        <f t="shared" si="0"/>
        <v>A253</v>
      </c>
      <c r="L86" s="8"/>
      <c r="M86" s="9" t="str">
        <f t="shared" si="1"/>
        <v>PBT1633</v>
      </c>
      <c r="N86" s="9">
        <f t="shared" si="2"/>
        <v>7</v>
      </c>
      <c r="O86" s="9" t="str">
        <f t="shared" si="3"/>
        <v>K/1PBT1633</v>
      </c>
    </row>
    <row r="87" spans="1:15" ht="17.5" x14ac:dyDescent="0.55000000000000004">
      <c r="A87" s="10" t="s">
        <v>156</v>
      </c>
      <c r="B87" s="10" t="s">
        <v>31</v>
      </c>
      <c r="C87" s="10" t="s">
        <v>150</v>
      </c>
      <c r="D87" s="10" t="s">
        <v>167</v>
      </c>
      <c r="E87" s="11" t="s">
        <v>50</v>
      </c>
      <c r="F87" s="10" t="s">
        <v>168</v>
      </c>
      <c r="G87" s="10" t="s">
        <v>17</v>
      </c>
      <c r="H87" s="11">
        <v>0</v>
      </c>
      <c r="I87" s="10" t="s">
        <v>159</v>
      </c>
      <c r="J87" s="11">
        <v>1</v>
      </c>
      <c r="K87" s="7" t="str">
        <f t="shared" si="0"/>
        <v>A253</v>
      </c>
      <c r="L87" s="8"/>
      <c r="M87" s="9" t="str">
        <f t="shared" si="1"/>
        <v>PBT1633</v>
      </c>
      <c r="N87" s="9">
        <f t="shared" si="2"/>
        <v>7</v>
      </c>
      <c r="O87" s="9" t="str">
        <f t="shared" si="3"/>
        <v>P/1PBT1633</v>
      </c>
    </row>
    <row r="88" spans="1:15" ht="17.5" x14ac:dyDescent="0.55000000000000004">
      <c r="A88" s="5" t="s">
        <v>156</v>
      </c>
      <c r="B88" s="5" t="s">
        <v>41</v>
      </c>
      <c r="C88" s="5" t="s">
        <v>14</v>
      </c>
      <c r="D88" s="5" t="s">
        <v>169</v>
      </c>
      <c r="E88" s="6" t="s">
        <v>16</v>
      </c>
      <c r="F88" s="5" t="s">
        <v>170</v>
      </c>
      <c r="G88" s="5" t="s">
        <v>17</v>
      </c>
      <c r="H88" s="6">
        <v>0</v>
      </c>
      <c r="I88" s="5" t="s">
        <v>159</v>
      </c>
      <c r="J88" s="6">
        <v>1</v>
      </c>
      <c r="K88" s="7" t="str">
        <f t="shared" si="0"/>
        <v>A253</v>
      </c>
      <c r="L88" s="8"/>
      <c r="M88" s="9" t="str">
        <f t="shared" si="1"/>
        <v>PBT1615</v>
      </c>
      <c r="N88" s="9">
        <f t="shared" si="2"/>
        <v>7</v>
      </c>
      <c r="O88" s="9" t="str">
        <f t="shared" si="3"/>
        <v>K/1PBT1615</v>
      </c>
    </row>
    <row r="89" spans="1:15" ht="17.5" x14ac:dyDescent="0.55000000000000004">
      <c r="A89" s="10" t="s">
        <v>156</v>
      </c>
      <c r="B89" s="10" t="s">
        <v>41</v>
      </c>
      <c r="C89" s="10" t="s">
        <v>49</v>
      </c>
      <c r="D89" s="10" t="s">
        <v>169</v>
      </c>
      <c r="E89" s="11" t="s">
        <v>50</v>
      </c>
      <c r="F89" s="10" t="s">
        <v>170</v>
      </c>
      <c r="G89" s="10" t="s">
        <v>17</v>
      </c>
      <c r="H89" s="11">
        <v>0</v>
      </c>
      <c r="I89" s="10" t="s">
        <v>159</v>
      </c>
      <c r="J89" s="11">
        <v>1</v>
      </c>
      <c r="K89" s="7" t="str">
        <f t="shared" si="0"/>
        <v>A253</v>
      </c>
      <c r="L89" s="8"/>
      <c r="M89" s="9" t="str">
        <f t="shared" si="1"/>
        <v>PBT1615</v>
      </c>
      <c r="N89" s="9">
        <f t="shared" si="2"/>
        <v>7</v>
      </c>
      <c r="O89" s="9" t="str">
        <f t="shared" si="3"/>
        <v>P/1PBT1615</v>
      </c>
    </row>
    <row r="90" spans="1:15" ht="17.5" x14ac:dyDescent="0.55000000000000004">
      <c r="A90" s="5" t="s">
        <v>156</v>
      </c>
      <c r="B90" s="5" t="s">
        <v>47</v>
      </c>
      <c r="C90" s="5" t="s">
        <v>14</v>
      </c>
      <c r="D90" s="5" t="s">
        <v>171</v>
      </c>
      <c r="E90" s="6" t="s">
        <v>16</v>
      </c>
      <c r="F90" s="5" t="s">
        <v>172</v>
      </c>
      <c r="G90" s="5" t="s">
        <v>17</v>
      </c>
      <c r="H90" s="6">
        <v>0</v>
      </c>
      <c r="I90" s="5" t="s">
        <v>159</v>
      </c>
      <c r="J90" s="6">
        <v>1</v>
      </c>
      <c r="K90" s="7" t="str">
        <f t="shared" si="0"/>
        <v>A253</v>
      </c>
      <c r="L90" s="8"/>
      <c r="M90" s="9" t="str">
        <f t="shared" si="1"/>
        <v>PBT1603</v>
      </c>
      <c r="N90" s="9">
        <f t="shared" si="2"/>
        <v>7</v>
      </c>
      <c r="O90" s="9" t="str">
        <f t="shared" si="3"/>
        <v>K/1PBT1603</v>
      </c>
    </row>
    <row r="91" spans="1:15" ht="17.5" x14ac:dyDescent="0.55000000000000004">
      <c r="A91" s="10" t="s">
        <v>156</v>
      </c>
      <c r="B91" s="10" t="s">
        <v>47</v>
      </c>
      <c r="C91" s="10" t="s">
        <v>147</v>
      </c>
      <c r="D91" s="10" t="s">
        <v>171</v>
      </c>
      <c r="E91" s="11" t="s">
        <v>50</v>
      </c>
      <c r="F91" s="10" t="s">
        <v>172</v>
      </c>
      <c r="G91" s="10" t="s">
        <v>17</v>
      </c>
      <c r="H91" s="11">
        <v>0</v>
      </c>
      <c r="I91" s="10" t="s">
        <v>159</v>
      </c>
      <c r="J91" s="11">
        <v>1</v>
      </c>
      <c r="K91" s="7" t="str">
        <f t="shared" si="0"/>
        <v>A253</v>
      </c>
      <c r="L91" s="8"/>
      <c r="M91" s="9" t="str">
        <f t="shared" si="1"/>
        <v>PBT1603</v>
      </c>
      <c r="N91" s="9">
        <f t="shared" si="2"/>
        <v>7</v>
      </c>
      <c r="O91" s="9" t="str">
        <f t="shared" si="3"/>
        <v>P/1PBT1603</v>
      </c>
    </row>
    <row r="92" spans="1:15" ht="17.5" x14ac:dyDescent="0.55000000000000004">
      <c r="A92" s="5" t="s">
        <v>156</v>
      </c>
      <c r="B92" s="5" t="s">
        <v>47</v>
      </c>
      <c r="C92" s="5" t="s">
        <v>147</v>
      </c>
      <c r="D92" s="5" t="s">
        <v>171</v>
      </c>
      <c r="E92" s="6" t="s">
        <v>144</v>
      </c>
      <c r="F92" s="5" t="s">
        <v>172</v>
      </c>
      <c r="G92" s="5" t="s">
        <v>17</v>
      </c>
      <c r="H92" s="6">
        <v>0</v>
      </c>
      <c r="I92" s="5" t="s">
        <v>159</v>
      </c>
      <c r="J92" s="6">
        <v>1</v>
      </c>
      <c r="K92" s="7" t="str">
        <f t="shared" si="0"/>
        <v>A253</v>
      </c>
      <c r="L92" s="8"/>
      <c r="M92" s="9" t="str">
        <f t="shared" si="1"/>
        <v>PBT1603</v>
      </c>
      <c r="N92" s="9">
        <f t="shared" si="2"/>
        <v>7</v>
      </c>
      <c r="O92" s="9" t="str">
        <f t="shared" si="3"/>
        <v>P/2PBT1603</v>
      </c>
    </row>
    <row r="93" spans="1:15" ht="17.5" x14ac:dyDescent="0.55000000000000004">
      <c r="A93" s="10" t="s">
        <v>156</v>
      </c>
      <c r="B93" s="10" t="s">
        <v>47</v>
      </c>
      <c r="C93" s="10" t="s">
        <v>173</v>
      </c>
      <c r="D93" s="10" t="s">
        <v>174</v>
      </c>
      <c r="E93" s="11" t="s">
        <v>16</v>
      </c>
      <c r="F93" s="10" t="s">
        <v>175</v>
      </c>
      <c r="G93" s="10" t="s">
        <v>17</v>
      </c>
      <c r="H93" s="11">
        <v>0</v>
      </c>
      <c r="I93" s="10" t="s">
        <v>159</v>
      </c>
      <c r="J93" s="11">
        <v>1</v>
      </c>
      <c r="K93" s="7" t="str">
        <f t="shared" si="0"/>
        <v>A253</v>
      </c>
      <c r="L93" s="8"/>
      <c r="M93" s="9" t="str">
        <f t="shared" si="1"/>
        <v>PBT1635</v>
      </c>
      <c r="N93" s="9">
        <f t="shared" si="2"/>
        <v>7</v>
      </c>
      <c r="O93" s="9" t="str">
        <f t="shared" si="3"/>
        <v>K/1PBT1635</v>
      </c>
    </row>
    <row r="94" spans="1:15" ht="17.5" x14ac:dyDescent="0.55000000000000004">
      <c r="A94" s="5" t="s">
        <v>156</v>
      </c>
      <c r="B94" s="5" t="s">
        <v>47</v>
      </c>
      <c r="C94" s="5" t="s">
        <v>150</v>
      </c>
      <c r="D94" s="5" t="s">
        <v>174</v>
      </c>
      <c r="E94" s="6" t="s">
        <v>50</v>
      </c>
      <c r="F94" s="5" t="s">
        <v>175</v>
      </c>
      <c r="G94" s="5" t="s">
        <v>17</v>
      </c>
      <c r="H94" s="6">
        <v>0</v>
      </c>
      <c r="I94" s="5" t="s">
        <v>159</v>
      </c>
      <c r="J94" s="6">
        <v>1</v>
      </c>
      <c r="K94" s="7" t="str">
        <f t="shared" si="0"/>
        <v>A253</v>
      </c>
      <c r="L94" s="8"/>
      <c r="M94" s="9" t="str">
        <f t="shared" si="1"/>
        <v>PBT1635</v>
      </c>
      <c r="N94" s="9">
        <f t="shared" si="2"/>
        <v>7</v>
      </c>
      <c r="O94" s="9" t="str">
        <f t="shared" si="3"/>
        <v>P/1PBT1635</v>
      </c>
    </row>
    <row r="95" spans="1:15" ht="17.5" x14ac:dyDescent="0.55000000000000004">
      <c r="A95" s="10" t="s">
        <v>156</v>
      </c>
      <c r="B95" s="10" t="s">
        <v>52</v>
      </c>
      <c r="C95" s="10" t="s">
        <v>64</v>
      </c>
      <c r="D95" s="10" t="s">
        <v>176</v>
      </c>
      <c r="E95" s="11" t="s">
        <v>16</v>
      </c>
      <c r="F95" s="10" t="s">
        <v>168</v>
      </c>
      <c r="G95" s="10" t="s">
        <v>17</v>
      </c>
      <c r="H95" s="11">
        <v>0</v>
      </c>
      <c r="I95" s="10" t="s">
        <v>159</v>
      </c>
      <c r="J95" s="11">
        <v>1</v>
      </c>
      <c r="K95" s="7" t="str">
        <f t="shared" si="0"/>
        <v>A253</v>
      </c>
      <c r="L95" s="8"/>
      <c r="M95" s="9" t="str">
        <f t="shared" si="1"/>
        <v>PBT1604</v>
      </c>
      <c r="N95" s="9">
        <f t="shared" si="2"/>
        <v>7</v>
      </c>
      <c r="O95" s="9" t="str">
        <f t="shared" si="3"/>
        <v>K/1PBT1604</v>
      </c>
    </row>
    <row r="96" spans="1:15" ht="17.5" x14ac:dyDescent="0.55000000000000004">
      <c r="A96" s="5" t="s">
        <v>156</v>
      </c>
      <c r="B96" s="5" t="s">
        <v>52</v>
      </c>
      <c r="C96" s="5" t="s">
        <v>150</v>
      </c>
      <c r="D96" s="5" t="s">
        <v>176</v>
      </c>
      <c r="E96" s="6" t="s">
        <v>50</v>
      </c>
      <c r="F96" s="5" t="s">
        <v>168</v>
      </c>
      <c r="G96" s="5" t="s">
        <v>17</v>
      </c>
      <c r="H96" s="6">
        <v>0</v>
      </c>
      <c r="I96" s="5" t="s">
        <v>159</v>
      </c>
      <c r="J96" s="6">
        <v>1</v>
      </c>
      <c r="K96" s="7" t="str">
        <f t="shared" si="0"/>
        <v>A253</v>
      </c>
      <c r="L96" s="8"/>
      <c r="M96" s="9" t="str">
        <f t="shared" si="1"/>
        <v>PBT1604</v>
      </c>
      <c r="N96" s="9">
        <f t="shared" si="2"/>
        <v>7</v>
      </c>
      <c r="O96" s="9" t="str">
        <f t="shared" si="3"/>
        <v>P/1PBT1604</v>
      </c>
    </row>
    <row r="97" spans="1:15" ht="17.5" x14ac:dyDescent="0.55000000000000004">
      <c r="A97" s="10" t="s">
        <v>156</v>
      </c>
      <c r="B97" s="10" t="s">
        <v>52</v>
      </c>
      <c r="C97" s="10" t="s">
        <v>150</v>
      </c>
      <c r="D97" s="10" t="s">
        <v>176</v>
      </c>
      <c r="E97" s="11" t="s">
        <v>144</v>
      </c>
      <c r="F97" s="10" t="s">
        <v>168</v>
      </c>
      <c r="G97" s="10" t="s">
        <v>17</v>
      </c>
      <c r="H97" s="11">
        <v>0</v>
      </c>
      <c r="I97" s="10" t="s">
        <v>159</v>
      </c>
      <c r="J97" s="11">
        <v>1</v>
      </c>
      <c r="K97" s="7" t="str">
        <f t="shared" si="0"/>
        <v>A253</v>
      </c>
      <c r="L97" s="8"/>
      <c r="M97" s="9" t="str">
        <f t="shared" si="1"/>
        <v>PBT1604</v>
      </c>
      <c r="N97" s="9">
        <f t="shared" si="2"/>
        <v>7</v>
      </c>
      <c r="O97" s="9" t="str">
        <f t="shared" si="3"/>
        <v>P/2PBT1604</v>
      </c>
    </row>
    <row r="98" spans="1:15" ht="17.5" x14ac:dyDescent="0.55000000000000004">
      <c r="A98" s="5" t="s">
        <v>177</v>
      </c>
      <c r="B98" s="6" t="s">
        <v>13</v>
      </c>
      <c r="C98" s="6" t="s">
        <v>92</v>
      </c>
      <c r="D98" s="5" t="s">
        <v>178</v>
      </c>
      <c r="E98" s="6" t="s">
        <v>50</v>
      </c>
      <c r="F98" s="6" t="s">
        <v>179</v>
      </c>
      <c r="G98" s="6" t="s">
        <v>17</v>
      </c>
      <c r="H98" s="6">
        <v>0</v>
      </c>
      <c r="I98" s="6" t="s">
        <v>180</v>
      </c>
      <c r="J98" s="6">
        <v>2</v>
      </c>
      <c r="K98" s="7" t="str">
        <f t="shared" si="0"/>
        <v>A351</v>
      </c>
      <c r="L98" s="8"/>
      <c r="M98" s="9" t="str">
        <f t="shared" si="1"/>
        <v>ENT1616</v>
      </c>
      <c r="N98" s="9">
        <f t="shared" si="2"/>
        <v>7</v>
      </c>
      <c r="O98" s="9" t="str">
        <f t="shared" si="3"/>
        <v>P/1ENT1616</v>
      </c>
    </row>
    <row r="99" spans="1:15" ht="17.5" x14ac:dyDescent="0.55000000000000004">
      <c r="A99" s="10" t="s">
        <v>177</v>
      </c>
      <c r="B99" s="11" t="s">
        <v>13</v>
      </c>
      <c r="C99" s="11" t="s">
        <v>92</v>
      </c>
      <c r="D99" s="10" t="s">
        <v>181</v>
      </c>
      <c r="E99" s="11" t="s">
        <v>50</v>
      </c>
      <c r="F99" s="11"/>
      <c r="G99" s="11" t="s">
        <v>17</v>
      </c>
      <c r="H99" s="11">
        <v>0</v>
      </c>
      <c r="I99" s="11" t="s">
        <v>182</v>
      </c>
      <c r="J99" s="11">
        <v>2</v>
      </c>
      <c r="K99" s="7" t="str">
        <f t="shared" si="0"/>
        <v>A351</v>
      </c>
      <c r="L99" s="8"/>
      <c r="M99" s="9" t="str">
        <f t="shared" si="1"/>
        <v>PHT1537</v>
      </c>
      <c r="N99" s="9">
        <f t="shared" si="2"/>
        <v>7</v>
      </c>
      <c r="O99" s="9" t="str">
        <f t="shared" si="3"/>
        <v>P/1PHT1537</v>
      </c>
    </row>
    <row r="100" spans="1:15" ht="17.5" x14ac:dyDescent="0.55000000000000004">
      <c r="A100" s="5" t="s">
        <v>177</v>
      </c>
      <c r="B100" s="6" t="s">
        <v>13</v>
      </c>
      <c r="C100" s="6" t="s">
        <v>14</v>
      </c>
      <c r="D100" s="5" t="s">
        <v>183</v>
      </c>
      <c r="E100" s="6" t="s">
        <v>16</v>
      </c>
      <c r="F100" s="6" t="s">
        <v>184</v>
      </c>
      <c r="G100" s="6" t="s">
        <v>17</v>
      </c>
      <c r="H100" s="6">
        <v>0</v>
      </c>
      <c r="I100" s="6" t="s">
        <v>180</v>
      </c>
      <c r="J100" s="6">
        <v>2</v>
      </c>
      <c r="K100" s="7" t="str">
        <f t="shared" si="0"/>
        <v>A351</v>
      </c>
      <c r="L100" s="8"/>
      <c r="M100" s="9" t="str">
        <f t="shared" si="1"/>
        <v>ENT1641</v>
      </c>
      <c r="N100" s="9">
        <f t="shared" si="2"/>
        <v>7</v>
      </c>
      <c r="O100" s="9" t="str">
        <f t="shared" si="3"/>
        <v>K/1ENT1641</v>
      </c>
    </row>
    <row r="101" spans="1:15" ht="17.5" x14ac:dyDescent="0.55000000000000004">
      <c r="A101" s="10" t="s">
        <v>177</v>
      </c>
      <c r="B101" s="11" t="s">
        <v>13</v>
      </c>
      <c r="C101" s="11" t="s">
        <v>96</v>
      </c>
      <c r="D101" s="10" t="s">
        <v>93</v>
      </c>
      <c r="E101" s="11" t="s">
        <v>155</v>
      </c>
      <c r="F101" s="11" t="s">
        <v>94</v>
      </c>
      <c r="G101" s="11" t="s">
        <v>185</v>
      </c>
      <c r="H101" s="11">
        <v>20</v>
      </c>
      <c r="I101" s="11" t="s">
        <v>182</v>
      </c>
      <c r="J101" s="11">
        <v>2</v>
      </c>
      <c r="K101" s="7" t="str">
        <f t="shared" si="0"/>
        <v>A351</v>
      </c>
      <c r="L101" s="8"/>
      <c r="M101" s="9" t="str">
        <f t="shared" si="1"/>
        <v>PTN1504</v>
      </c>
      <c r="N101" s="9">
        <f t="shared" si="2"/>
        <v>7</v>
      </c>
      <c r="O101" s="9" t="str">
        <f t="shared" si="3"/>
        <v>K/2PTN1504</v>
      </c>
    </row>
    <row r="102" spans="1:15" ht="17.5" x14ac:dyDescent="0.55000000000000004">
      <c r="A102" s="5" t="s">
        <v>177</v>
      </c>
      <c r="B102" s="6" t="s">
        <v>13</v>
      </c>
      <c r="C102" s="6" t="s">
        <v>101</v>
      </c>
      <c r="D102" s="5" t="s">
        <v>178</v>
      </c>
      <c r="E102" s="6" t="s">
        <v>16</v>
      </c>
      <c r="F102" s="6" t="s">
        <v>179</v>
      </c>
      <c r="G102" s="6" t="s">
        <v>17</v>
      </c>
      <c r="H102" s="6">
        <v>0</v>
      </c>
      <c r="I102" s="6" t="s">
        <v>180</v>
      </c>
      <c r="J102" s="6">
        <v>2</v>
      </c>
      <c r="K102" s="7" t="str">
        <f t="shared" si="0"/>
        <v>A351</v>
      </c>
      <c r="L102" s="8"/>
      <c r="M102" s="9" t="str">
        <f t="shared" si="1"/>
        <v>ENT1616</v>
      </c>
      <c r="N102" s="9">
        <f t="shared" si="2"/>
        <v>7</v>
      </c>
      <c r="O102" s="9" t="str">
        <f t="shared" si="3"/>
        <v>K/1ENT1616</v>
      </c>
    </row>
    <row r="103" spans="1:15" ht="17.5" x14ac:dyDescent="0.55000000000000004">
      <c r="A103" s="10" t="s">
        <v>177</v>
      </c>
      <c r="B103" s="11" t="s">
        <v>13</v>
      </c>
      <c r="C103" s="11" t="s">
        <v>101</v>
      </c>
      <c r="D103" s="10" t="s">
        <v>181</v>
      </c>
      <c r="E103" s="11" t="s">
        <v>16</v>
      </c>
      <c r="F103" s="11"/>
      <c r="G103" s="11" t="s">
        <v>17</v>
      </c>
      <c r="H103" s="11">
        <v>0</v>
      </c>
      <c r="I103" s="11" t="s">
        <v>182</v>
      </c>
      <c r="J103" s="11">
        <v>2</v>
      </c>
      <c r="K103" s="7" t="str">
        <f t="shared" si="0"/>
        <v>A351</v>
      </c>
      <c r="L103" s="8"/>
      <c r="M103" s="9" t="str">
        <f t="shared" si="1"/>
        <v>PHT1537</v>
      </c>
      <c r="N103" s="9">
        <f t="shared" si="2"/>
        <v>7</v>
      </c>
      <c r="O103" s="9" t="str">
        <f t="shared" si="3"/>
        <v>K/1PHT1537</v>
      </c>
    </row>
    <row r="104" spans="1:15" ht="17.5" x14ac:dyDescent="0.55000000000000004">
      <c r="A104" s="5" t="s">
        <v>177</v>
      </c>
      <c r="B104" s="6" t="s">
        <v>31</v>
      </c>
      <c r="C104" s="6" t="s">
        <v>96</v>
      </c>
      <c r="D104" s="5" t="s">
        <v>186</v>
      </c>
      <c r="E104" s="6" t="s">
        <v>16</v>
      </c>
      <c r="F104" s="6" t="s">
        <v>187</v>
      </c>
      <c r="G104" s="6" t="s">
        <v>185</v>
      </c>
      <c r="H104" s="6">
        <v>20</v>
      </c>
      <c r="I104" s="6" t="s">
        <v>188</v>
      </c>
      <c r="J104" s="6">
        <v>2</v>
      </c>
      <c r="K104" s="7" t="str">
        <f t="shared" si="0"/>
        <v>A351</v>
      </c>
      <c r="L104" s="8"/>
      <c r="M104" s="9" t="str">
        <f t="shared" si="1"/>
        <v>ENT1533</v>
      </c>
      <c r="N104" s="9">
        <f t="shared" si="2"/>
        <v>7</v>
      </c>
      <c r="O104" s="9" t="str">
        <f t="shared" si="3"/>
        <v>K/1ENT1533</v>
      </c>
    </row>
    <row r="105" spans="1:15" ht="17.5" x14ac:dyDescent="0.55000000000000004">
      <c r="A105" s="10" t="s">
        <v>177</v>
      </c>
      <c r="B105" s="11" t="s">
        <v>31</v>
      </c>
      <c r="C105" s="11" t="s">
        <v>49</v>
      </c>
      <c r="D105" s="10" t="s">
        <v>93</v>
      </c>
      <c r="E105" s="11" t="s">
        <v>144</v>
      </c>
      <c r="F105" s="11" t="s">
        <v>94</v>
      </c>
      <c r="G105" s="11" t="s">
        <v>17</v>
      </c>
      <c r="H105" s="11">
        <v>0</v>
      </c>
      <c r="I105" s="11" t="s">
        <v>182</v>
      </c>
      <c r="J105" s="11">
        <v>2</v>
      </c>
      <c r="K105" s="7" t="str">
        <f t="shared" si="0"/>
        <v>A351</v>
      </c>
      <c r="L105" s="8"/>
      <c r="M105" s="9" t="str">
        <f t="shared" si="1"/>
        <v>PTN1504</v>
      </c>
      <c r="N105" s="9">
        <f t="shared" si="2"/>
        <v>7</v>
      </c>
      <c r="O105" s="9" t="str">
        <f t="shared" si="3"/>
        <v>P/2PTN1504</v>
      </c>
    </row>
    <row r="106" spans="1:15" ht="17.5" x14ac:dyDescent="0.55000000000000004">
      <c r="A106" s="5" t="s">
        <v>177</v>
      </c>
      <c r="B106" s="6" t="s">
        <v>41</v>
      </c>
      <c r="C106" s="6" t="s">
        <v>92</v>
      </c>
      <c r="D106" s="5" t="s">
        <v>189</v>
      </c>
      <c r="E106" s="6" t="s">
        <v>50</v>
      </c>
      <c r="F106" s="6" t="s">
        <v>190</v>
      </c>
      <c r="G106" s="6" t="s">
        <v>17</v>
      </c>
      <c r="H106" s="6">
        <v>0</v>
      </c>
      <c r="I106" s="6" t="s">
        <v>182</v>
      </c>
      <c r="J106" s="6">
        <v>2</v>
      </c>
      <c r="K106" s="7" t="str">
        <f t="shared" si="0"/>
        <v>A351</v>
      </c>
      <c r="L106" s="8"/>
      <c r="M106" s="9" t="str">
        <f t="shared" si="1"/>
        <v>PHT1538</v>
      </c>
      <c r="N106" s="9">
        <f t="shared" si="2"/>
        <v>7</v>
      </c>
      <c r="O106" s="9" t="str">
        <f t="shared" si="3"/>
        <v>P/1PHT1538</v>
      </c>
    </row>
    <row r="107" spans="1:15" ht="17.5" x14ac:dyDescent="0.55000000000000004">
      <c r="A107" s="10" t="s">
        <v>177</v>
      </c>
      <c r="B107" s="11" t="s">
        <v>41</v>
      </c>
      <c r="C107" s="11" t="s">
        <v>64</v>
      </c>
      <c r="D107" s="10" t="s">
        <v>189</v>
      </c>
      <c r="E107" s="11" t="s">
        <v>16</v>
      </c>
      <c r="F107" s="11" t="s">
        <v>190</v>
      </c>
      <c r="G107" s="11" t="s">
        <v>17</v>
      </c>
      <c r="H107" s="11">
        <v>0</v>
      </c>
      <c r="I107" s="11" t="s">
        <v>182</v>
      </c>
      <c r="J107" s="11">
        <v>2</v>
      </c>
      <c r="K107" s="7" t="str">
        <f t="shared" si="0"/>
        <v>A351</v>
      </c>
      <c r="L107" s="8"/>
      <c r="M107" s="9" t="str">
        <f t="shared" si="1"/>
        <v>PHT1538</v>
      </c>
      <c r="N107" s="9">
        <f t="shared" si="2"/>
        <v>7</v>
      </c>
      <c r="O107" s="9" t="str">
        <f t="shared" si="3"/>
        <v>K/1PHT1538</v>
      </c>
    </row>
    <row r="108" spans="1:15" ht="17.5" x14ac:dyDescent="0.55000000000000004">
      <c r="A108" s="5" t="s">
        <v>177</v>
      </c>
      <c r="B108" s="6" t="s">
        <v>47</v>
      </c>
      <c r="C108" s="6" t="s">
        <v>92</v>
      </c>
      <c r="D108" s="5" t="s">
        <v>186</v>
      </c>
      <c r="E108" s="6" t="s">
        <v>50</v>
      </c>
      <c r="F108" s="6" t="s">
        <v>187</v>
      </c>
      <c r="G108" s="6" t="s">
        <v>17</v>
      </c>
      <c r="H108" s="6">
        <v>0</v>
      </c>
      <c r="I108" s="6" t="s">
        <v>188</v>
      </c>
      <c r="J108" s="6">
        <v>2</v>
      </c>
      <c r="K108" s="7" t="str">
        <f t="shared" si="0"/>
        <v>A351</v>
      </c>
      <c r="L108" s="8"/>
      <c r="M108" s="9" t="str">
        <f t="shared" si="1"/>
        <v>ENT1533</v>
      </c>
      <c r="N108" s="9">
        <f t="shared" si="2"/>
        <v>7</v>
      </c>
      <c r="O108" s="9" t="str">
        <f t="shared" si="3"/>
        <v>P/1ENT1533</v>
      </c>
    </row>
    <row r="109" spans="1:15" ht="17.5" x14ac:dyDescent="0.55000000000000004">
      <c r="A109" s="10" t="s">
        <v>177</v>
      </c>
      <c r="B109" s="11" t="s">
        <v>52</v>
      </c>
      <c r="C109" s="11" t="s">
        <v>191</v>
      </c>
      <c r="D109" s="10" t="s">
        <v>192</v>
      </c>
      <c r="E109" s="11" t="s">
        <v>16</v>
      </c>
      <c r="F109" s="11" t="s">
        <v>193</v>
      </c>
      <c r="G109" s="11" t="s">
        <v>97</v>
      </c>
      <c r="H109" s="11">
        <v>20</v>
      </c>
      <c r="I109" s="11" t="s">
        <v>188</v>
      </c>
      <c r="J109" s="11">
        <v>2</v>
      </c>
      <c r="K109" s="7" t="str">
        <f t="shared" si="0"/>
        <v>A351</v>
      </c>
      <c r="L109" s="8"/>
      <c r="M109" s="9" t="str">
        <f t="shared" si="1"/>
        <v>ENT1613</v>
      </c>
      <c r="N109" s="9">
        <f t="shared" si="2"/>
        <v>7</v>
      </c>
      <c r="O109" s="9" t="str">
        <f t="shared" si="3"/>
        <v>K/1ENT1613</v>
      </c>
    </row>
    <row r="110" spans="1:15" ht="17.5" x14ac:dyDescent="0.55000000000000004">
      <c r="A110" s="5" t="s">
        <v>177</v>
      </c>
      <c r="B110" s="6" t="s">
        <v>52</v>
      </c>
      <c r="C110" s="6" t="s">
        <v>64</v>
      </c>
      <c r="D110" s="5" t="s">
        <v>194</v>
      </c>
      <c r="E110" s="6" t="s">
        <v>16</v>
      </c>
      <c r="F110" s="6"/>
      <c r="G110" s="6" t="s">
        <v>17</v>
      </c>
      <c r="H110" s="6">
        <v>0</v>
      </c>
      <c r="I110" s="6" t="s">
        <v>182</v>
      </c>
      <c r="J110" s="6">
        <v>2</v>
      </c>
      <c r="K110" s="7" t="str">
        <f t="shared" si="0"/>
        <v>A351</v>
      </c>
      <c r="L110" s="8"/>
      <c r="M110" s="9" t="str">
        <f t="shared" si="1"/>
        <v>PHT1534</v>
      </c>
      <c r="N110" s="9">
        <f t="shared" si="2"/>
        <v>7</v>
      </c>
      <c r="O110" s="9" t="str">
        <f t="shared" si="3"/>
        <v>K/1PHT1534</v>
      </c>
    </row>
    <row r="111" spans="1:15" ht="17.5" x14ac:dyDescent="0.55000000000000004">
      <c r="A111" s="10" t="s">
        <v>177</v>
      </c>
      <c r="B111" s="11" t="s">
        <v>52</v>
      </c>
      <c r="C111" s="11" t="s">
        <v>49</v>
      </c>
      <c r="D111" s="10" t="s">
        <v>192</v>
      </c>
      <c r="E111" s="11" t="s">
        <v>50</v>
      </c>
      <c r="F111" s="11" t="s">
        <v>193</v>
      </c>
      <c r="G111" s="11" t="s">
        <v>17</v>
      </c>
      <c r="H111" s="11">
        <v>0</v>
      </c>
      <c r="I111" s="11" t="s">
        <v>188</v>
      </c>
      <c r="J111" s="11">
        <v>2</v>
      </c>
      <c r="K111" s="7" t="str">
        <f t="shared" si="0"/>
        <v>A351</v>
      </c>
      <c r="L111" s="8"/>
      <c r="M111" s="9" t="str">
        <f t="shared" si="1"/>
        <v>ENT1613</v>
      </c>
      <c r="N111" s="9">
        <f t="shared" si="2"/>
        <v>7</v>
      </c>
      <c r="O111" s="9" t="str">
        <f t="shared" si="3"/>
        <v>P/1ENT1613</v>
      </c>
    </row>
    <row r="112" spans="1:15" ht="17.5" x14ac:dyDescent="0.55000000000000004">
      <c r="A112" s="5" t="s">
        <v>177</v>
      </c>
      <c r="B112" s="6" t="s">
        <v>52</v>
      </c>
      <c r="C112" s="6" t="s">
        <v>138</v>
      </c>
      <c r="D112" s="5" t="s">
        <v>194</v>
      </c>
      <c r="E112" s="6" t="s">
        <v>50</v>
      </c>
      <c r="F112" s="6"/>
      <c r="G112" s="6" t="s">
        <v>17</v>
      </c>
      <c r="H112" s="6">
        <v>0</v>
      </c>
      <c r="I112" s="6" t="s">
        <v>182</v>
      </c>
      <c r="J112" s="6">
        <v>2</v>
      </c>
      <c r="K112" s="7" t="str">
        <f t="shared" si="0"/>
        <v>A351</v>
      </c>
      <c r="L112" s="8"/>
      <c r="M112" s="9" t="str">
        <f t="shared" si="1"/>
        <v>PHT1534</v>
      </c>
      <c r="N112" s="9">
        <f t="shared" si="2"/>
        <v>7</v>
      </c>
      <c r="O112" s="9" t="str">
        <f t="shared" si="3"/>
        <v>P/1PHT1534</v>
      </c>
    </row>
    <row r="113" spans="1:15" ht="17.5" x14ac:dyDescent="0.55000000000000004">
      <c r="A113" s="10" t="s">
        <v>177</v>
      </c>
      <c r="B113" s="11" t="s">
        <v>195</v>
      </c>
      <c r="C113" s="11" t="s">
        <v>132</v>
      </c>
      <c r="D113" s="10" t="s">
        <v>196</v>
      </c>
      <c r="E113" s="11" t="s">
        <v>50</v>
      </c>
      <c r="F113" s="11" t="s">
        <v>124</v>
      </c>
      <c r="G113" s="11" t="s">
        <v>17</v>
      </c>
      <c r="H113" s="11">
        <v>0</v>
      </c>
      <c r="I113" s="11" t="s">
        <v>188</v>
      </c>
      <c r="J113" s="11">
        <v>2</v>
      </c>
      <c r="K113" s="7" t="str">
        <f t="shared" si="0"/>
        <v>A351</v>
      </c>
      <c r="L113" s="8"/>
      <c r="M113" s="9" t="str">
        <f t="shared" si="1"/>
        <v>ENT1602</v>
      </c>
      <c r="N113" s="9">
        <f t="shared" si="2"/>
        <v>7</v>
      </c>
      <c r="O113" s="9" t="str">
        <f t="shared" si="3"/>
        <v>P/1ENT1602</v>
      </c>
    </row>
    <row r="114" spans="1:15" ht="17.5" x14ac:dyDescent="0.55000000000000004">
      <c r="A114" s="12" t="s">
        <v>197</v>
      </c>
      <c r="B114" s="6" t="s">
        <v>41</v>
      </c>
      <c r="C114" s="6" t="s">
        <v>198</v>
      </c>
      <c r="D114" s="12" t="s">
        <v>199</v>
      </c>
      <c r="E114" s="6" t="s">
        <v>155</v>
      </c>
      <c r="F114" s="6" t="s">
        <v>200</v>
      </c>
      <c r="G114" s="6" t="s">
        <v>17</v>
      </c>
      <c r="H114" s="6">
        <v>0</v>
      </c>
      <c r="I114" s="6" t="s">
        <v>201</v>
      </c>
      <c r="J114" s="6">
        <v>2</v>
      </c>
      <c r="K114" s="7" t="str">
        <f t="shared" si="0"/>
        <v>A353</v>
      </c>
      <c r="L114" s="8"/>
      <c r="M114" s="9" t="str">
        <f t="shared" si="1"/>
        <v>PHT1503</v>
      </c>
      <c r="N114" s="9">
        <f t="shared" si="2"/>
        <v>7</v>
      </c>
      <c r="O114" s="9" t="str">
        <f t="shared" si="3"/>
        <v>K/2PHT1503</v>
      </c>
    </row>
    <row r="115" spans="1:15" ht="17.5" x14ac:dyDescent="0.55000000000000004">
      <c r="A115" s="13" t="s">
        <v>197</v>
      </c>
      <c r="B115" s="11" t="s">
        <v>47</v>
      </c>
      <c r="C115" s="11" t="s">
        <v>202</v>
      </c>
      <c r="D115" s="13" t="s">
        <v>203</v>
      </c>
      <c r="E115" s="11" t="s">
        <v>155</v>
      </c>
      <c r="F115" s="11" t="s">
        <v>193</v>
      </c>
      <c r="G115" s="11" t="s">
        <v>17</v>
      </c>
      <c r="H115" s="11">
        <v>0</v>
      </c>
      <c r="I115" s="11" t="s">
        <v>201</v>
      </c>
      <c r="J115" s="11">
        <v>2</v>
      </c>
      <c r="K115" s="7" t="str">
        <f t="shared" si="0"/>
        <v>A353</v>
      </c>
      <c r="L115" s="8"/>
      <c r="M115" s="9" t="str">
        <f t="shared" si="1"/>
        <v>PHT1533</v>
      </c>
      <c r="N115" s="9">
        <f t="shared" si="2"/>
        <v>7</v>
      </c>
      <c r="O115" s="9" t="str">
        <f t="shared" si="3"/>
        <v>K/2PHT1533</v>
      </c>
    </row>
    <row r="116" spans="1:15" ht="17.5" x14ac:dyDescent="0.55000000000000004">
      <c r="A116" s="12" t="s">
        <v>197</v>
      </c>
      <c r="B116" s="6" t="s">
        <v>47</v>
      </c>
      <c r="C116" s="6" t="s">
        <v>202</v>
      </c>
      <c r="D116" s="12" t="s">
        <v>204</v>
      </c>
      <c r="E116" s="6" t="s">
        <v>155</v>
      </c>
      <c r="F116" s="6" t="s">
        <v>190</v>
      </c>
      <c r="G116" s="6" t="s">
        <v>17</v>
      </c>
      <c r="H116" s="6">
        <v>0</v>
      </c>
      <c r="I116" s="6" t="s">
        <v>201</v>
      </c>
      <c r="J116" s="6">
        <v>2</v>
      </c>
      <c r="K116" s="7" t="str">
        <f t="shared" si="0"/>
        <v>A353</v>
      </c>
      <c r="L116" s="8"/>
      <c r="M116" s="9" t="str">
        <f t="shared" si="1"/>
        <v>PHT1535</v>
      </c>
      <c r="N116" s="9">
        <f t="shared" si="2"/>
        <v>7</v>
      </c>
      <c r="O116" s="9" t="str">
        <f t="shared" si="3"/>
        <v>K/2PHT1535</v>
      </c>
    </row>
    <row r="117" spans="1:15" ht="17.5" x14ac:dyDescent="0.55000000000000004">
      <c r="A117" s="13" t="s">
        <v>197</v>
      </c>
      <c r="B117" s="11" t="s">
        <v>47</v>
      </c>
      <c r="C117" s="11" t="s">
        <v>202</v>
      </c>
      <c r="D117" s="13" t="s">
        <v>205</v>
      </c>
      <c r="E117" s="11" t="s">
        <v>16</v>
      </c>
      <c r="F117" s="11" t="s">
        <v>106</v>
      </c>
      <c r="G117" s="11" t="s">
        <v>17</v>
      </c>
      <c r="H117" s="11">
        <v>0</v>
      </c>
      <c r="I117" s="11" t="s">
        <v>201</v>
      </c>
      <c r="J117" s="11">
        <v>2</v>
      </c>
      <c r="K117" s="7" t="str">
        <f t="shared" si="0"/>
        <v>A353</v>
      </c>
      <c r="L117" s="8"/>
      <c r="M117" s="9" t="str">
        <f t="shared" si="1"/>
        <v>PHT1651</v>
      </c>
      <c r="N117" s="9">
        <f t="shared" si="2"/>
        <v>7</v>
      </c>
      <c r="O117" s="9" t="str">
        <f t="shared" si="3"/>
        <v>K/1PHT1651</v>
      </c>
    </row>
    <row r="118" spans="1:15" ht="17.5" x14ac:dyDescent="0.55000000000000004">
      <c r="A118" s="12" t="s">
        <v>197</v>
      </c>
      <c r="B118" s="6" t="s">
        <v>52</v>
      </c>
      <c r="C118" s="6" t="s">
        <v>206</v>
      </c>
      <c r="D118" s="12" t="s">
        <v>199</v>
      </c>
      <c r="E118" s="6" t="s">
        <v>144</v>
      </c>
      <c r="F118" s="6" t="s">
        <v>200</v>
      </c>
      <c r="G118" s="6" t="s">
        <v>17</v>
      </c>
      <c r="H118" s="6">
        <v>0</v>
      </c>
      <c r="I118" s="6" t="s">
        <v>201</v>
      </c>
      <c r="J118" s="6">
        <v>2</v>
      </c>
      <c r="K118" s="7" t="str">
        <f t="shared" si="0"/>
        <v>A353</v>
      </c>
      <c r="L118" s="8"/>
      <c r="M118" s="9" t="str">
        <f t="shared" si="1"/>
        <v>PHT1503</v>
      </c>
      <c r="N118" s="9">
        <f t="shared" si="2"/>
        <v>7</v>
      </c>
      <c r="O118" s="9" t="str">
        <f t="shared" si="3"/>
        <v>P/2PHT1503</v>
      </c>
    </row>
    <row r="119" spans="1:15" ht="17.5" x14ac:dyDescent="0.55000000000000004">
      <c r="A119" s="13" t="s">
        <v>197</v>
      </c>
      <c r="B119" s="11" t="s">
        <v>195</v>
      </c>
      <c r="C119" s="11" t="s">
        <v>92</v>
      </c>
      <c r="D119" s="13" t="s">
        <v>207</v>
      </c>
      <c r="E119" s="11" t="s">
        <v>50</v>
      </c>
      <c r="F119" s="11" t="s">
        <v>110</v>
      </c>
      <c r="G119" s="11" t="s">
        <v>17</v>
      </c>
      <c r="H119" s="11">
        <v>0</v>
      </c>
      <c r="I119" s="11" t="s">
        <v>201</v>
      </c>
      <c r="J119" s="11">
        <v>2</v>
      </c>
      <c r="K119" s="7" t="str">
        <f t="shared" si="0"/>
        <v>A353</v>
      </c>
      <c r="L119" s="8"/>
      <c r="M119" s="9" t="str">
        <f t="shared" si="1"/>
        <v>PHT1521</v>
      </c>
      <c r="N119" s="9">
        <f t="shared" si="2"/>
        <v>7</v>
      </c>
      <c r="O119" s="9" t="str">
        <f t="shared" si="3"/>
        <v>P/1PHT1521</v>
      </c>
    </row>
    <row r="120" spans="1:15" ht="17.5" x14ac:dyDescent="0.55000000000000004">
      <c r="A120" s="12" t="s">
        <v>197</v>
      </c>
      <c r="B120" s="6" t="s">
        <v>195</v>
      </c>
      <c r="C120" s="6" t="s">
        <v>147</v>
      </c>
      <c r="D120" s="12" t="s">
        <v>208</v>
      </c>
      <c r="E120" s="6" t="s">
        <v>50</v>
      </c>
      <c r="F120" s="6" t="s">
        <v>209</v>
      </c>
      <c r="G120" s="6" t="s">
        <v>17</v>
      </c>
      <c r="H120" s="6">
        <v>0</v>
      </c>
      <c r="I120" s="6" t="s">
        <v>201</v>
      </c>
      <c r="J120" s="6">
        <v>2</v>
      </c>
      <c r="K120" s="7" t="str">
        <f t="shared" si="0"/>
        <v>A353</v>
      </c>
      <c r="L120" s="8"/>
      <c r="M120" s="9" t="str">
        <f t="shared" si="1"/>
        <v>PHT1531</v>
      </c>
      <c r="N120" s="9">
        <f t="shared" si="2"/>
        <v>7</v>
      </c>
      <c r="O120" s="9" t="str">
        <f t="shared" si="3"/>
        <v>P/1PHT1531</v>
      </c>
    </row>
    <row r="121" spans="1:15" ht="17.5" x14ac:dyDescent="0.55000000000000004">
      <c r="A121" s="13" t="s">
        <v>197</v>
      </c>
      <c r="B121" s="11" t="s">
        <v>195</v>
      </c>
      <c r="C121" s="11" t="s">
        <v>49</v>
      </c>
      <c r="D121" s="13" t="s">
        <v>203</v>
      </c>
      <c r="E121" s="11" t="s">
        <v>144</v>
      </c>
      <c r="F121" s="11" t="s">
        <v>193</v>
      </c>
      <c r="G121" s="11" t="s">
        <v>17</v>
      </c>
      <c r="H121" s="11">
        <v>0</v>
      </c>
      <c r="I121" s="11" t="s">
        <v>201</v>
      </c>
      <c r="J121" s="11">
        <v>2</v>
      </c>
      <c r="K121" s="7" t="str">
        <f t="shared" si="0"/>
        <v>A353</v>
      </c>
      <c r="L121" s="8"/>
      <c r="M121" s="9" t="str">
        <f t="shared" si="1"/>
        <v>PHT1533</v>
      </c>
      <c r="N121" s="9">
        <f t="shared" si="2"/>
        <v>7</v>
      </c>
      <c r="O121" s="9" t="str">
        <f t="shared" si="3"/>
        <v>P/2PHT1533</v>
      </c>
    </row>
    <row r="122" spans="1:15" ht="17.5" x14ac:dyDescent="0.55000000000000004">
      <c r="A122" s="12" t="s">
        <v>197</v>
      </c>
      <c r="B122" s="6" t="s">
        <v>195</v>
      </c>
      <c r="C122" s="6" t="s">
        <v>49</v>
      </c>
      <c r="D122" s="12" t="s">
        <v>204</v>
      </c>
      <c r="E122" s="6" t="s">
        <v>144</v>
      </c>
      <c r="F122" s="6" t="s">
        <v>190</v>
      </c>
      <c r="G122" s="6" t="s">
        <v>17</v>
      </c>
      <c r="H122" s="6">
        <v>0</v>
      </c>
      <c r="I122" s="6" t="s">
        <v>201</v>
      </c>
      <c r="J122" s="6">
        <v>2</v>
      </c>
      <c r="K122" s="7" t="str">
        <f t="shared" si="0"/>
        <v>A353</v>
      </c>
      <c r="L122" s="8"/>
      <c r="M122" s="9" t="str">
        <f t="shared" si="1"/>
        <v>PHT1535</v>
      </c>
      <c r="N122" s="9">
        <f t="shared" si="2"/>
        <v>7</v>
      </c>
      <c r="O122" s="9" t="str">
        <f t="shared" si="3"/>
        <v>P/2PHT1535</v>
      </c>
    </row>
    <row r="123" spans="1:15" ht="17.5" x14ac:dyDescent="0.55000000000000004">
      <c r="A123" s="13" t="s">
        <v>197</v>
      </c>
      <c r="B123" s="11" t="s">
        <v>195</v>
      </c>
      <c r="C123" s="11" t="s">
        <v>49</v>
      </c>
      <c r="D123" s="13" t="s">
        <v>205</v>
      </c>
      <c r="E123" s="11" t="s">
        <v>144</v>
      </c>
      <c r="F123" s="11" t="s">
        <v>106</v>
      </c>
      <c r="G123" s="11" t="s">
        <v>17</v>
      </c>
      <c r="H123" s="11">
        <v>0</v>
      </c>
      <c r="I123" s="11" t="s">
        <v>201</v>
      </c>
      <c r="J123" s="11">
        <v>2</v>
      </c>
      <c r="K123" s="7" t="str">
        <f t="shared" si="0"/>
        <v>A353</v>
      </c>
      <c r="L123" s="8"/>
      <c r="M123" s="9" t="str">
        <f t="shared" si="1"/>
        <v>PHT1651</v>
      </c>
      <c r="N123" s="9">
        <f t="shared" si="2"/>
        <v>7</v>
      </c>
      <c r="O123" s="9" t="str">
        <f t="shared" si="3"/>
        <v>P/2PHT1651</v>
      </c>
    </row>
    <row r="124" spans="1:15" ht="17.5" x14ac:dyDescent="0.55000000000000004">
      <c r="A124" s="12" t="s">
        <v>197</v>
      </c>
      <c r="B124" s="6" t="s">
        <v>195</v>
      </c>
      <c r="C124" s="6" t="s">
        <v>210</v>
      </c>
      <c r="D124" s="12" t="s">
        <v>207</v>
      </c>
      <c r="E124" s="6" t="s">
        <v>16</v>
      </c>
      <c r="F124" s="6" t="s">
        <v>110</v>
      </c>
      <c r="G124" s="6" t="s">
        <v>17</v>
      </c>
      <c r="H124" s="6">
        <v>0</v>
      </c>
      <c r="I124" s="6" t="s">
        <v>201</v>
      </c>
      <c r="J124" s="6">
        <v>2</v>
      </c>
      <c r="K124" s="7" t="str">
        <f t="shared" si="0"/>
        <v>A353</v>
      </c>
      <c r="L124" s="8"/>
      <c r="M124" s="9" t="str">
        <f t="shared" si="1"/>
        <v>PHT1521</v>
      </c>
      <c r="N124" s="9">
        <f t="shared" si="2"/>
        <v>7</v>
      </c>
      <c r="O124" s="9" t="str">
        <f t="shared" si="3"/>
        <v>K/1PHT1521</v>
      </c>
    </row>
    <row r="125" spans="1:15" ht="17.5" x14ac:dyDescent="0.55000000000000004">
      <c r="A125" s="13" t="s">
        <v>197</v>
      </c>
      <c r="B125" s="11" t="s">
        <v>195</v>
      </c>
      <c r="C125" s="11" t="s">
        <v>211</v>
      </c>
      <c r="D125" s="13" t="s">
        <v>208</v>
      </c>
      <c r="E125" s="11" t="s">
        <v>16</v>
      </c>
      <c r="F125" s="11" t="s">
        <v>209</v>
      </c>
      <c r="G125" s="11" t="s">
        <v>17</v>
      </c>
      <c r="H125" s="11">
        <v>0</v>
      </c>
      <c r="I125" s="11" t="s">
        <v>201</v>
      </c>
      <c r="J125" s="11">
        <v>2</v>
      </c>
      <c r="K125" s="7" t="str">
        <f t="shared" si="0"/>
        <v>A353</v>
      </c>
      <c r="L125" s="8"/>
      <c r="M125" s="9" t="str">
        <f t="shared" si="1"/>
        <v>PHT1531</v>
      </c>
      <c r="N125" s="9">
        <f t="shared" si="2"/>
        <v>7</v>
      </c>
      <c r="O125" s="9" t="str">
        <f t="shared" si="3"/>
        <v>K/1PHT1531</v>
      </c>
    </row>
    <row r="126" spans="1:15" ht="17.5" x14ac:dyDescent="0.55000000000000004">
      <c r="A126" s="5" t="s">
        <v>212</v>
      </c>
      <c r="B126" s="6" t="s">
        <v>13</v>
      </c>
      <c r="C126" s="6" t="s">
        <v>14</v>
      </c>
      <c r="D126" s="5" t="s">
        <v>213</v>
      </c>
      <c r="E126" s="6" t="s">
        <v>16</v>
      </c>
      <c r="F126" s="6" t="s">
        <v>214</v>
      </c>
      <c r="G126" s="6" t="s">
        <v>215</v>
      </c>
      <c r="H126" s="6">
        <v>20</v>
      </c>
      <c r="I126" s="6" t="s">
        <v>216</v>
      </c>
      <c r="J126" s="6">
        <v>2</v>
      </c>
      <c r="K126" s="7" t="str">
        <f t="shared" si="0"/>
        <v>A451</v>
      </c>
      <c r="L126" s="8"/>
      <c r="M126" s="9" t="str">
        <f t="shared" si="1"/>
        <v>ARL1636</v>
      </c>
      <c r="N126" s="9">
        <f t="shared" si="2"/>
        <v>7</v>
      </c>
      <c r="O126" s="9" t="str">
        <f t="shared" si="3"/>
        <v>K/1ARL1636</v>
      </c>
    </row>
    <row r="127" spans="1:15" ht="17.5" x14ac:dyDescent="0.55000000000000004">
      <c r="A127" s="10" t="s">
        <v>212</v>
      </c>
      <c r="B127" s="11" t="s">
        <v>13</v>
      </c>
      <c r="C127" s="11" t="s">
        <v>25</v>
      </c>
      <c r="D127" s="10" t="s">
        <v>217</v>
      </c>
      <c r="E127" s="11" t="s">
        <v>16</v>
      </c>
      <c r="F127" s="11" t="s">
        <v>218</v>
      </c>
      <c r="G127" s="11" t="s">
        <v>215</v>
      </c>
      <c r="H127" s="11">
        <v>20</v>
      </c>
      <c r="I127" s="11" t="s">
        <v>216</v>
      </c>
      <c r="J127" s="11">
        <v>2</v>
      </c>
      <c r="K127" s="7" t="str">
        <f t="shared" si="0"/>
        <v>A451</v>
      </c>
      <c r="L127" s="8"/>
      <c r="M127" s="9" t="str">
        <f t="shared" si="1"/>
        <v>ARL1501</v>
      </c>
      <c r="N127" s="9">
        <f t="shared" si="2"/>
        <v>7</v>
      </c>
      <c r="O127" s="9" t="str">
        <f t="shared" si="3"/>
        <v>K/1ARL1501</v>
      </c>
    </row>
    <row r="128" spans="1:15" ht="17.5" x14ac:dyDescent="0.55000000000000004">
      <c r="A128" s="5" t="s">
        <v>212</v>
      </c>
      <c r="B128" s="6" t="s">
        <v>13</v>
      </c>
      <c r="C128" s="6" t="s">
        <v>49</v>
      </c>
      <c r="D128" s="5" t="s">
        <v>217</v>
      </c>
      <c r="E128" s="6" t="s">
        <v>50</v>
      </c>
      <c r="F128" s="6" t="s">
        <v>218</v>
      </c>
      <c r="G128" s="6" t="s">
        <v>215</v>
      </c>
      <c r="H128" s="6">
        <v>20</v>
      </c>
      <c r="I128" s="6" t="s">
        <v>216</v>
      </c>
      <c r="J128" s="6">
        <v>2</v>
      </c>
      <c r="K128" s="7" t="str">
        <f t="shared" si="0"/>
        <v>A451</v>
      </c>
      <c r="L128" s="8"/>
      <c r="M128" s="9" t="str">
        <f t="shared" si="1"/>
        <v>ARL1501</v>
      </c>
      <c r="N128" s="9">
        <f t="shared" si="2"/>
        <v>7</v>
      </c>
      <c r="O128" s="9" t="str">
        <f t="shared" si="3"/>
        <v>P/1ARL1501</v>
      </c>
    </row>
    <row r="129" spans="1:15" ht="17.5" x14ac:dyDescent="0.55000000000000004">
      <c r="A129" s="10" t="s">
        <v>212</v>
      </c>
      <c r="B129" s="11" t="s">
        <v>31</v>
      </c>
      <c r="C129" s="11" t="s">
        <v>14</v>
      </c>
      <c r="D129" s="10" t="s">
        <v>219</v>
      </c>
      <c r="E129" s="11" t="s">
        <v>16</v>
      </c>
      <c r="F129" s="11" t="s">
        <v>220</v>
      </c>
      <c r="G129" s="11" t="s">
        <v>215</v>
      </c>
      <c r="H129" s="11">
        <v>20</v>
      </c>
      <c r="I129" s="11" t="s">
        <v>216</v>
      </c>
      <c r="J129" s="11">
        <v>2</v>
      </c>
      <c r="K129" s="7" t="str">
        <f t="shared" si="0"/>
        <v>A451</v>
      </c>
      <c r="L129" s="8"/>
      <c r="M129" s="9" t="str">
        <f t="shared" si="1"/>
        <v>ARL1513</v>
      </c>
      <c r="N129" s="9">
        <f t="shared" si="2"/>
        <v>7</v>
      </c>
      <c r="O129" s="9" t="str">
        <f t="shared" si="3"/>
        <v>K/1ARL1513</v>
      </c>
    </row>
    <row r="130" spans="1:15" ht="17.5" x14ac:dyDescent="0.55000000000000004">
      <c r="A130" s="5" t="s">
        <v>212</v>
      </c>
      <c r="B130" s="6" t="s">
        <v>31</v>
      </c>
      <c r="C130" s="6" t="s">
        <v>147</v>
      </c>
      <c r="D130" s="5" t="s">
        <v>219</v>
      </c>
      <c r="E130" s="6" t="s">
        <v>50</v>
      </c>
      <c r="F130" s="6" t="s">
        <v>220</v>
      </c>
      <c r="G130" s="6" t="s">
        <v>215</v>
      </c>
      <c r="H130" s="6">
        <v>20</v>
      </c>
      <c r="I130" s="6" t="s">
        <v>216</v>
      </c>
      <c r="J130" s="6">
        <v>2</v>
      </c>
      <c r="K130" s="7" t="str">
        <f t="shared" si="0"/>
        <v>A451</v>
      </c>
      <c r="L130" s="8"/>
      <c r="M130" s="9" t="str">
        <f t="shared" si="1"/>
        <v>ARL1513</v>
      </c>
      <c r="N130" s="9">
        <f t="shared" si="2"/>
        <v>7</v>
      </c>
      <c r="O130" s="9" t="str">
        <f t="shared" si="3"/>
        <v>P/1ARL1513</v>
      </c>
    </row>
    <row r="131" spans="1:15" ht="17.5" x14ac:dyDescent="0.55000000000000004">
      <c r="A131" s="10" t="s">
        <v>212</v>
      </c>
      <c r="B131" s="11" t="s">
        <v>31</v>
      </c>
      <c r="C131" s="11" t="s">
        <v>221</v>
      </c>
      <c r="D131" s="10" t="s">
        <v>222</v>
      </c>
      <c r="E131" s="11" t="s">
        <v>16</v>
      </c>
      <c r="F131" s="11" t="s">
        <v>223</v>
      </c>
      <c r="G131" s="11" t="s">
        <v>215</v>
      </c>
      <c r="H131" s="11">
        <v>20</v>
      </c>
      <c r="I131" s="11" t="s">
        <v>216</v>
      </c>
      <c r="J131" s="11">
        <v>2</v>
      </c>
      <c r="K131" s="7" t="str">
        <f t="shared" si="0"/>
        <v>A451</v>
      </c>
      <c r="L131" s="8"/>
      <c r="M131" s="9" t="str">
        <f t="shared" si="1"/>
        <v>ARL1603</v>
      </c>
      <c r="N131" s="9">
        <f t="shared" si="2"/>
        <v>7</v>
      </c>
      <c r="O131" s="9" t="str">
        <f t="shared" si="3"/>
        <v>K/1ARL1603</v>
      </c>
    </row>
    <row r="132" spans="1:15" ht="17.5" x14ac:dyDescent="0.55000000000000004">
      <c r="A132" s="5" t="s">
        <v>212</v>
      </c>
      <c r="B132" s="6" t="s">
        <v>31</v>
      </c>
      <c r="C132" s="6" t="s">
        <v>224</v>
      </c>
      <c r="D132" s="5" t="s">
        <v>222</v>
      </c>
      <c r="E132" s="6" t="s">
        <v>50</v>
      </c>
      <c r="F132" s="6" t="s">
        <v>223</v>
      </c>
      <c r="G132" s="6" t="s">
        <v>215</v>
      </c>
      <c r="H132" s="6">
        <v>20</v>
      </c>
      <c r="I132" s="6" t="s">
        <v>216</v>
      </c>
      <c r="J132" s="6">
        <v>2</v>
      </c>
      <c r="K132" s="7" t="str">
        <f t="shared" si="0"/>
        <v>A451</v>
      </c>
      <c r="L132" s="8"/>
      <c r="M132" s="9" t="str">
        <f t="shared" si="1"/>
        <v>ARL1603</v>
      </c>
      <c r="N132" s="9">
        <f t="shared" si="2"/>
        <v>7</v>
      </c>
      <c r="O132" s="9" t="str">
        <f t="shared" si="3"/>
        <v>P/1ARL1603</v>
      </c>
    </row>
    <row r="133" spans="1:15" ht="17.5" x14ac:dyDescent="0.55000000000000004">
      <c r="A133" s="10" t="s">
        <v>212</v>
      </c>
      <c r="B133" s="11" t="s">
        <v>41</v>
      </c>
      <c r="C133" s="11" t="s">
        <v>14</v>
      </c>
      <c r="D133" s="10" t="s">
        <v>225</v>
      </c>
      <c r="E133" s="11" t="s">
        <v>16</v>
      </c>
      <c r="F133" s="11" t="s">
        <v>226</v>
      </c>
      <c r="G133" s="11" t="s">
        <v>215</v>
      </c>
      <c r="H133" s="11">
        <v>20</v>
      </c>
      <c r="I133" s="11" t="s">
        <v>216</v>
      </c>
      <c r="J133" s="11">
        <v>2</v>
      </c>
      <c r="K133" s="7" t="str">
        <f t="shared" si="0"/>
        <v>A451</v>
      </c>
      <c r="L133" s="8"/>
      <c r="M133" s="9" t="str">
        <f t="shared" si="1"/>
        <v>ARL1626</v>
      </c>
      <c r="N133" s="9">
        <f t="shared" si="2"/>
        <v>7</v>
      </c>
      <c r="O133" s="9" t="str">
        <f t="shared" si="3"/>
        <v>K/1ARL1626</v>
      </c>
    </row>
    <row r="134" spans="1:15" ht="17.5" x14ac:dyDescent="0.55000000000000004">
      <c r="A134" s="5" t="s">
        <v>212</v>
      </c>
      <c r="B134" s="6" t="s">
        <v>41</v>
      </c>
      <c r="C134" s="6" t="s">
        <v>221</v>
      </c>
      <c r="D134" s="5" t="s">
        <v>227</v>
      </c>
      <c r="E134" s="6" t="s">
        <v>16</v>
      </c>
      <c r="F134" s="6" t="s">
        <v>228</v>
      </c>
      <c r="G134" s="6" t="s">
        <v>215</v>
      </c>
      <c r="H134" s="6">
        <v>20</v>
      </c>
      <c r="I134" s="6" t="s">
        <v>216</v>
      </c>
      <c r="J134" s="6">
        <v>2</v>
      </c>
      <c r="K134" s="7" t="str">
        <f t="shared" si="0"/>
        <v>A451</v>
      </c>
      <c r="L134" s="8"/>
      <c r="M134" s="9" t="str">
        <f t="shared" si="1"/>
        <v>ARL1611</v>
      </c>
      <c r="N134" s="9">
        <f t="shared" si="2"/>
        <v>7</v>
      </c>
      <c r="O134" s="9" t="str">
        <f t="shared" si="3"/>
        <v>K/1ARL1611</v>
      </c>
    </row>
    <row r="135" spans="1:15" ht="17.5" x14ac:dyDescent="0.55000000000000004">
      <c r="A135" s="10" t="s">
        <v>212</v>
      </c>
      <c r="B135" s="11" t="s">
        <v>41</v>
      </c>
      <c r="C135" s="11" t="s">
        <v>224</v>
      </c>
      <c r="D135" s="10" t="s">
        <v>227</v>
      </c>
      <c r="E135" s="11" t="s">
        <v>50</v>
      </c>
      <c r="F135" s="11" t="s">
        <v>228</v>
      </c>
      <c r="G135" s="11" t="s">
        <v>215</v>
      </c>
      <c r="H135" s="11">
        <v>20</v>
      </c>
      <c r="I135" s="11" t="s">
        <v>216</v>
      </c>
      <c r="J135" s="11">
        <v>2</v>
      </c>
      <c r="K135" s="7" t="str">
        <f t="shared" si="0"/>
        <v>A451</v>
      </c>
      <c r="L135" s="8"/>
      <c r="M135" s="9" t="str">
        <f t="shared" si="1"/>
        <v>ARL1611</v>
      </c>
      <c r="N135" s="9">
        <f t="shared" si="2"/>
        <v>7</v>
      </c>
      <c r="O135" s="9" t="str">
        <f t="shared" si="3"/>
        <v>P/1ARL1611</v>
      </c>
    </row>
    <row r="136" spans="1:15" ht="17.5" x14ac:dyDescent="0.55000000000000004">
      <c r="A136" s="5" t="s">
        <v>212</v>
      </c>
      <c r="B136" s="6" t="s">
        <v>47</v>
      </c>
      <c r="C136" s="6" t="s">
        <v>14</v>
      </c>
      <c r="D136" s="5" t="s">
        <v>229</v>
      </c>
      <c r="E136" s="6" t="s">
        <v>16</v>
      </c>
      <c r="F136" s="6" t="s">
        <v>230</v>
      </c>
      <c r="G136" s="6" t="s">
        <v>215</v>
      </c>
      <c r="H136" s="6">
        <v>20</v>
      </c>
      <c r="I136" s="6" t="s">
        <v>216</v>
      </c>
      <c r="J136" s="6">
        <v>2</v>
      </c>
      <c r="K136" s="7" t="str">
        <f t="shared" si="0"/>
        <v>A451</v>
      </c>
      <c r="L136" s="8"/>
      <c r="M136" s="9" t="str">
        <f t="shared" si="1"/>
        <v>ARL1633</v>
      </c>
      <c r="N136" s="9">
        <f t="shared" si="2"/>
        <v>7</v>
      </c>
      <c r="O136" s="9" t="str">
        <f t="shared" si="3"/>
        <v>K/1ARL1633</v>
      </c>
    </row>
    <row r="137" spans="1:15" ht="17.5" x14ac:dyDescent="0.55000000000000004">
      <c r="A137" s="10" t="s">
        <v>212</v>
      </c>
      <c r="B137" s="11" t="s">
        <v>47</v>
      </c>
      <c r="C137" s="11" t="s">
        <v>231</v>
      </c>
      <c r="D137" s="10" t="s">
        <v>232</v>
      </c>
      <c r="E137" s="11" t="s">
        <v>50</v>
      </c>
      <c r="F137" s="11" t="s">
        <v>226</v>
      </c>
      <c r="G137" s="11" t="s">
        <v>215</v>
      </c>
      <c r="H137" s="11">
        <v>20</v>
      </c>
      <c r="I137" s="11" t="s">
        <v>216</v>
      </c>
      <c r="J137" s="11">
        <v>2</v>
      </c>
      <c r="K137" s="7" t="str">
        <f t="shared" si="0"/>
        <v>A451</v>
      </c>
      <c r="L137" s="8"/>
      <c r="M137" s="9" t="str">
        <f t="shared" si="1"/>
        <v>ARL1602</v>
      </c>
      <c r="N137" s="9">
        <f t="shared" si="2"/>
        <v>7</v>
      </c>
      <c r="O137" s="9" t="str">
        <f t="shared" si="3"/>
        <v>P/1ARL1602</v>
      </c>
    </row>
    <row r="138" spans="1:15" ht="17.5" x14ac:dyDescent="0.55000000000000004">
      <c r="A138" s="5" t="s">
        <v>212</v>
      </c>
      <c r="B138" s="6" t="s">
        <v>52</v>
      </c>
      <c r="C138" s="6" t="s">
        <v>14</v>
      </c>
      <c r="D138" s="5" t="s">
        <v>233</v>
      </c>
      <c r="E138" s="6" t="s">
        <v>16</v>
      </c>
      <c r="F138" s="6" t="s">
        <v>234</v>
      </c>
      <c r="G138" s="6" t="s">
        <v>215</v>
      </c>
      <c r="H138" s="6">
        <v>20</v>
      </c>
      <c r="I138" s="6" t="s">
        <v>216</v>
      </c>
      <c r="J138" s="6">
        <v>2</v>
      </c>
      <c r="K138" s="7" t="str">
        <f t="shared" si="0"/>
        <v>A451</v>
      </c>
      <c r="L138" s="8"/>
      <c r="M138" s="9" t="str">
        <f t="shared" si="1"/>
        <v>ARL1635</v>
      </c>
      <c r="N138" s="9">
        <f t="shared" si="2"/>
        <v>7</v>
      </c>
      <c r="O138" s="9" t="str">
        <f t="shared" si="3"/>
        <v>K/1ARL1635</v>
      </c>
    </row>
    <row r="139" spans="1:15" ht="17.5" x14ac:dyDescent="0.55000000000000004">
      <c r="A139" s="10" t="s">
        <v>212</v>
      </c>
      <c r="B139" s="11" t="s">
        <v>52</v>
      </c>
      <c r="C139" s="11" t="s">
        <v>235</v>
      </c>
      <c r="D139" s="10" t="s">
        <v>236</v>
      </c>
      <c r="E139" s="11" t="s">
        <v>16</v>
      </c>
      <c r="F139" s="11" t="s">
        <v>218</v>
      </c>
      <c r="G139" s="11" t="s">
        <v>17</v>
      </c>
      <c r="H139" s="11">
        <v>0</v>
      </c>
      <c r="I139" s="11" t="s">
        <v>216</v>
      </c>
      <c r="J139" s="11">
        <v>2</v>
      </c>
      <c r="K139" s="7" t="str">
        <f t="shared" si="0"/>
        <v>A451</v>
      </c>
      <c r="L139" s="8"/>
      <c r="M139" s="9" t="str">
        <f t="shared" si="1"/>
        <v>ARL1625</v>
      </c>
      <c r="N139" s="9">
        <f t="shared" si="2"/>
        <v>7</v>
      </c>
      <c r="O139" s="9" t="str">
        <f t="shared" si="3"/>
        <v>K/1ARL1625</v>
      </c>
    </row>
    <row r="140" spans="1:15" ht="17.5" x14ac:dyDescent="0.55000000000000004">
      <c r="A140" s="5" t="s">
        <v>212</v>
      </c>
      <c r="B140" s="6" t="s">
        <v>52</v>
      </c>
      <c r="C140" s="6" t="s">
        <v>237</v>
      </c>
      <c r="D140" s="5" t="s">
        <v>236</v>
      </c>
      <c r="E140" s="6" t="s">
        <v>50</v>
      </c>
      <c r="F140" s="6" t="s">
        <v>218</v>
      </c>
      <c r="G140" s="6" t="s">
        <v>215</v>
      </c>
      <c r="H140" s="6">
        <v>20</v>
      </c>
      <c r="I140" s="6" t="s">
        <v>216</v>
      </c>
      <c r="J140" s="6">
        <v>2</v>
      </c>
      <c r="K140" s="7" t="str">
        <f t="shared" si="0"/>
        <v>A451</v>
      </c>
      <c r="L140" s="8"/>
      <c r="M140" s="9" t="str">
        <f t="shared" si="1"/>
        <v>ARL1625</v>
      </c>
      <c r="N140" s="9">
        <f t="shared" si="2"/>
        <v>7</v>
      </c>
      <c r="O140" s="9" t="str">
        <f t="shared" si="3"/>
        <v>P/1ARL1625</v>
      </c>
    </row>
    <row r="141" spans="1:15" ht="17.5" x14ac:dyDescent="0.55000000000000004">
      <c r="A141" s="13" t="s">
        <v>238</v>
      </c>
      <c r="B141" s="11" t="s">
        <v>13</v>
      </c>
      <c r="C141" s="11" t="s">
        <v>239</v>
      </c>
      <c r="D141" s="10" t="s">
        <v>240</v>
      </c>
      <c r="E141" s="11" t="s">
        <v>16</v>
      </c>
      <c r="F141" s="11" t="s">
        <v>241</v>
      </c>
      <c r="G141" s="11" t="s">
        <v>17</v>
      </c>
      <c r="H141" s="11">
        <v>0</v>
      </c>
      <c r="I141" s="11" t="s">
        <v>242</v>
      </c>
      <c r="J141" s="11">
        <v>2</v>
      </c>
      <c r="K141" s="7" t="str">
        <f t="shared" si="0"/>
        <v>B351</v>
      </c>
      <c r="L141" s="8"/>
      <c r="M141" s="9" t="str">
        <f t="shared" si="1"/>
        <v>SVB156A</v>
      </c>
      <c r="N141" s="9">
        <f t="shared" si="2"/>
        <v>7</v>
      </c>
      <c r="O141" s="9" t="str">
        <f t="shared" si="3"/>
        <v>K/1SVB156A</v>
      </c>
    </row>
    <row r="142" spans="1:15" ht="17.5" x14ac:dyDescent="0.55000000000000004">
      <c r="A142" s="12" t="s">
        <v>238</v>
      </c>
      <c r="B142" s="6" t="s">
        <v>13</v>
      </c>
      <c r="C142" s="6" t="s">
        <v>19</v>
      </c>
      <c r="D142" s="5" t="s">
        <v>240</v>
      </c>
      <c r="E142" s="6" t="s">
        <v>50</v>
      </c>
      <c r="F142" s="6" t="s">
        <v>241</v>
      </c>
      <c r="G142" s="6" t="s">
        <v>17</v>
      </c>
      <c r="H142" s="6">
        <v>0</v>
      </c>
      <c r="I142" s="6" t="s">
        <v>242</v>
      </c>
      <c r="J142" s="6">
        <v>2</v>
      </c>
      <c r="K142" s="7" t="str">
        <f t="shared" si="0"/>
        <v>B351</v>
      </c>
      <c r="L142" s="8"/>
      <c r="M142" s="9" t="str">
        <f t="shared" si="1"/>
        <v>SVB156A</v>
      </c>
      <c r="N142" s="9">
        <f t="shared" si="2"/>
        <v>7</v>
      </c>
      <c r="O142" s="9" t="str">
        <f t="shared" si="3"/>
        <v>P/1SVB156A</v>
      </c>
    </row>
    <row r="143" spans="1:15" ht="17.5" x14ac:dyDescent="0.55000000000000004">
      <c r="A143" s="13" t="s">
        <v>238</v>
      </c>
      <c r="B143" s="11" t="s">
        <v>13</v>
      </c>
      <c r="C143" s="11" t="s">
        <v>243</v>
      </c>
      <c r="D143" s="10" t="s">
        <v>244</v>
      </c>
      <c r="E143" s="11" t="s">
        <v>16</v>
      </c>
      <c r="F143" s="11" t="s">
        <v>245</v>
      </c>
      <c r="G143" s="11" t="s">
        <v>17</v>
      </c>
      <c r="H143" s="11">
        <v>0</v>
      </c>
      <c r="I143" s="11" t="s">
        <v>242</v>
      </c>
      <c r="J143" s="11">
        <v>2</v>
      </c>
      <c r="K143" s="7" t="str">
        <f t="shared" si="0"/>
        <v>B351</v>
      </c>
      <c r="L143" s="8"/>
      <c r="M143" s="9" t="str">
        <f t="shared" si="1"/>
        <v>SVB1533</v>
      </c>
      <c r="N143" s="9">
        <f t="shared" si="2"/>
        <v>7</v>
      </c>
      <c r="O143" s="9" t="str">
        <f t="shared" si="3"/>
        <v>K/1SVB1533</v>
      </c>
    </row>
    <row r="144" spans="1:15" ht="17.5" x14ac:dyDescent="0.55000000000000004">
      <c r="A144" s="12" t="s">
        <v>238</v>
      </c>
      <c r="B144" s="6" t="s">
        <v>13</v>
      </c>
      <c r="C144" s="6" t="s">
        <v>191</v>
      </c>
      <c r="D144" s="5" t="s">
        <v>246</v>
      </c>
      <c r="E144" s="6" t="s">
        <v>16</v>
      </c>
      <c r="F144" s="6"/>
      <c r="G144" s="6" t="s">
        <v>17</v>
      </c>
      <c r="H144" s="6">
        <v>0</v>
      </c>
      <c r="I144" s="6" t="s">
        <v>242</v>
      </c>
      <c r="J144" s="6">
        <v>2</v>
      </c>
      <c r="K144" s="7" t="str">
        <f t="shared" si="0"/>
        <v>B351</v>
      </c>
      <c r="L144" s="8"/>
      <c r="M144" s="9" t="str">
        <f t="shared" si="1"/>
        <v>SVB1505</v>
      </c>
      <c r="N144" s="9">
        <f t="shared" si="2"/>
        <v>7</v>
      </c>
      <c r="O144" s="9" t="str">
        <f t="shared" si="3"/>
        <v>K/1SVB1505</v>
      </c>
    </row>
    <row r="145" spans="1:15" ht="17.5" x14ac:dyDescent="0.55000000000000004">
      <c r="A145" s="13" t="s">
        <v>238</v>
      </c>
      <c r="B145" s="11" t="s">
        <v>13</v>
      </c>
      <c r="C145" s="11" t="s">
        <v>191</v>
      </c>
      <c r="D145" s="10" t="s">
        <v>247</v>
      </c>
      <c r="E145" s="11" t="s">
        <v>16</v>
      </c>
      <c r="F145" s="11" t="s">
        <v>248</v>
      </c>
      <c r="G145" s="11" t="s">
        <v>17</v>
      </c>
      <c r="H145" s="11">
        <v>0</v>
      </c>
      <c r="I145" s="11" t="s">
        <v>242</v>
      </c>
      <c r="J145" s="11">
        <v>2</v>
      </c>
      <c r="K145" s="7" t="str">
        <f t="shared" si="0"/>
        <v>B351</v>
      </c>
      <c r="L145" s="8"/>
      <c r="M145" s="9" t="str">
        <f t="shared" si="1"/>
        <v>SVB154A</v>
      </c>
      <c r="N145" s="9">
        <f t="shared" si="2"/>
        <v>7</v>
      </c>
      <c r="O145" s="9" t="str">
        <f t="shared" si="3"/>
        <v>K/1SVB154A</v>
      </c>
    </row>
    <row r="146" spans="1:15" ht="17.5" x14ac:dyDescent="0.55000000000000004">
      <c r="A146" s="12" t="s">
        <v>238</v>
      </c>
      <c r="B146" s="6" t="s">
        <v>13</v>
      </c>
      <c r="C146" s="6" t="s">
        <v>23</v>
      </c>
      <c r="D146" s="5" t="s">
        <v>249</v>
      </c>
      <c r="E146" s="6" t="s">
        <v>16</v>
      </c>
      <c r="F146" s="6" t="s">
        <v>250</v>
      </c>
      <c r="G146" s="6" t="s">
        <v>17</v>
      </c>
      <c r="H146" s="6">
        <v>0</v>
      </c>
      <c r="I146" s="6" t="s">
        <v>242</v>
      </c>
      <c r="J146" s="6">
        <v>2</v>
      </c>
      <c r="K146" s="7" t="str">
        <f t="shared" si="0"/>
        <v>B351</v>
      </c>
      <c r="L146" s="8"/>
      <c r="M146" s="9" t="str">
        <f t="shared" si="1"/>
        <v>SVB1553</v>
      </c>
      <c r="N146" s="9">
        <f t="shared" si="2"/>
        <v>7</v>
      </c>
      <c r="O146" s="9" t="str">
        <f t="shared" si="3"/>
        <v>K/1SVB1553</v>
      </c>
    </row>
    <row r="147" spans="1:15" ht="17.5" x14ac:dyDescent="0.55000000000000004">
      <c r="A147" s="13" t="s">
        <v>238</v>
      </c>
      <c r="B147" s="11" t="s">
        <v>13</v>
      </c>
      <c r="C147" s="11" t="s">
        <v>154</v>
      </c>
      <c r="D147" s="10" t="s">
        <v>251</v>
      </c>
      <c r="E147" s="11" t="s">
        <v>16</v>
      </c>
      <c r="F147" s="11" t="s">
        <v>252</v>
      </c>
      <c r="G147" s="11" t="s">
        <v>17</v>
      </c>
      <c r="H147" s="11">
        <v>0</v>
      </c>
      <c r="I147" s="11" t="s">
        <v>242</v>
      </c>
      <c r="J147" s="11">
        <v>2</v>
      </c>
      <c r="K147" s="7" t="str">
        <f t="shared" si="0"/>
        <v>B351</v>
      </c>
      <c r="L147" s="8"/>
      <c r="M147" s="9" t="str">
        <f t="shared" si="1"/>
        <v>SVB1551</v>
      </c>
      <c r="N147" s="9">
        <f t="shared" si="2"/>
        <v>7</v>
      </c>
      <c r="O147" s="9" t="str">
        <f t="shared" si="3"/>
        <v>K/1SVB1551</v>
      </c>
    </row>
    <row r="148" spans="1:15" ht="17.5" x14ac:dyDescent="0.55000000000000004">
      <c r="A148" s="12" t="s">
        <v>238</v>
      </c>
      <c r="B148" s="6" t="s">
        <v>13</v>
      </c>
      <c r="C148" s="6" t="s">
        <v>25</v>
      </c>
      <c r="D148" s="5" t="s">
        <v>253</v>
      </c>
      <c r="E148" s="6" t="s">
        <v>16</v>
      </c>
      <c r="F148" s="6" t="s">
        <v>241</v>
      </c>
      <c r="G148" s="6" t="s">
        <v>17</v>
      </c>
      <c r="H148" s="6">
        <v>0</v>
      </c>
      <c r="I148" s="6" t="s">
        <v>242</v>
      </c>
      <c r="J148" s="6">
        <v>2</v>
      </c>
      <c r="K148" s="7" t="str">
        <f t="shared" si="0"/>
        <v>B351</v>
      </c>
      <c r="L148" s="8"/>
      <c r="M148" s="9" t="str">
        <f t="shared" si="1"/>
        <v>SVB1569</v>
      </c>
      <c r="N148" s="9">
        <f t="shared" si="2"/>
        <v>7</v>
      </c>
      <c r="O148" s="9" t="str">
        <f t="shared" si="3"/>
        <v>K/1SVB1569</v>
      </c>
    </row>
    <row r="149" spans="1:15" ht="17.5" x14ac:dyDescent="0.55000000000000004">
      <c r="A149" s="13" t="s">
        <v>238</v>
      </c>
      <c r="B149" s="11" t="s">
        <v>13</v>
      </c>
      <c r="C149" s="11" t="s">
        <v>254</v>
      </c>
      <c r="D149" s="10" t="s">
        <v>244</v>
      </c>
      <c r="E149" s="11" t="s">
        <v>50</v>
      </c>
      <c r="F149" s="11" t="s">
        <v>245</v>
      </c>
      <c r="G149" s="11" t="s">
        <v>17</v>
      </c>
      <c r="H149" s="11">
        <v>0</v>
      </c>
      <c r="I149" s="11" t="s">
        <v>242</v>
      </c>
      <c r="J149" s="11">
        <v>2</v>
      </c>
      <c r="K149" s="7" t="str">
        <f t="shared" si="0"/>
        <v>B351</v>
      </c>
      <c r="L149" s="8"/>
      <c r="M149" s="9" t="str">
        <f t="shared" si="1"/>
        <v>SVB1533</v>
      </c>
      <c r="N149" s="9">
        <f t="shared" si="2"/>
        <v>7</v>
      </c>
      <c r="O149" s="9" t="str">
        <f t="shared" si="3"/>
        <v>P/1SVB1533</v>
      </c>
    </row>
    <row r="150" spans="1:15" ht="17.5" x14ac:dyDescent="0.55000000000000004">
      <c r="A150" s="12" t="s">
        <v>238</v>
      </c>
      <c r="B150" s="6" t="s">
        <v>13</v>
      </c>
      <c r="C150" s="6" t="s">
        <v>255</v>
      </c>
      <c r="D150" s="5" t="s">
        <v>246</v>
      </c>
      <c r="E150" s="6" t="s">
        <v>50</v>
      </c>
      <c r="F150" s="6"/>
      <c r="G150" s="6" t="s">
        <v>17</v>
      </c>
      <c r="H150" s="6">
        <v>0</v>
      </c>
      <c r="I150" s="6" t="s">
        <v>242</v>
      </c>
      <c r="J150" s="6">
        <v>2</v>
      </c>
      <c r="K150" s="7" t="str">
        <f t="shared" si="0"/>
        <v>B351</v>
      </c>
      <c r="L150" s="8"/>
      <c r="M150" s="9" t="str">
        <f t="shared" si="1"/>
        <v>SVB1505</v>
      </c>
      <c r="N150" s="9">
        <f t="shared" si="2"/>
        <v>7</v>
      </c>
      <c r="O150" s="9" t="str">
        <f t="shared" si="3"/>
        <v>P/1SVB1505</v>
      </c>
    </row>
    <row r="151" spans="1:15" ht="17.5" x14ac:dyDescent="0.55000000000000004">
      <c r="A151" s="13" t="s">
        <v>238</v>
      </c>
      <c r="B151" s="11" t="s">
        <v>13</v>
      </c>
      <c r="C151" s="11" t="s">
        <v>256</v>
      </c>
      <c r="D151" s="10" t="s">
        <v>257</v>
      </c>
      <c r="E151" s="11" t="s">
        <v>16</v>
      </c>
      <c r="F151" s="11" t="s">
        <v>258</v>
      </c>
      <c r="G151" s="11" t="s">
        <v>17</v>
      </c>
      <c r="H151" s="11">
        <v>0</v>
      </c>
      <c r="I151" s="11" t="s">
        <v>242</v>
      </c>
      <c r="J151" s="11">
        <v>2</v>
      </c>
      <c r="K151" s="7" t="str">
        <f t="shared" si="0"/>
        <v>B351</v>
      </c>
      <c r="L151" s="8"/>
      <c r="M151" s="9" t="str">
        <f t="shared" si="1"/>
        <v>SVB1564</v>
      </c>
      <c r="N151" s="9">
        <f t="shared" si="2"/>
        <v>7</v>
      </c>
      <c r="O151" s="9" t="str">
        <f t="shared" si="3"/>
        <v>K/1SVB1564</v>
      </c>
    </row>
    <row r="152" spans="1:15" ht="17.5" x14ac:dyDescent="0.55000000000000004">
      <c r="A152" s="12" t="s">
        <v>238</v>
      </c>
      <c r="B152" s="6" t="s">
        <v>13</v>
      </c>
      <c r="C152" s="6" t="s">
        <v>36</v>
      </c>
      <c r="D152" s="5" t="s">
        <v>253</v>
      </c>
      <c r="E152" s="6" t="s">
        <v>50</v>
      </c>
      <c r="F152" s="6" t="s">
        <v>241</v>
      </c>
      <c r="G152" s="6" t="s">
        <v>17</v>
      </c>
      <c r="H152" s="6">
        <v>0</v>
      </c>
      <c r="I152" s="6" t="s">
        <v>242</v>
      </c>
      <c r="J152" s="6">
        <v>2</v>
      </c>
      <c r="K152" s="7" t="str">
        <f t="shared" si="0"/>
        <v>B351</v>
      </c>
      <c r="L152" s="8"/>
      <c r="M152" s="9" t="str">
        <f t="shared" si="1"/>
        <v>SVB1569</v>
      </c>
      <c r="N152" s="9">
        <f t="shared" si="2"/>
        <v>7</v>
      </c>
      <c r="O152" s="9" t="str">
        <f t="shared" si="3"/>
        <v>P/1SVB1569</v>
      </c>
    </row>
    <row r="153" spans="1:15" ht="17.5" x14ac:dyDescent="0.55000000000000004">
      <c r="A153" s="13" t="s">
        <v>238</v>
      </c>
      <c r="B153" s="11" t="s">
        <v>13</v>
      </c>
      <c r="C153" s="11" t="s">
        <v>259</v>
      </c>
      <c r="D153" s="10" t="s">
        <v>249</v>
      </c>
      <c r="E153" s="11" t="s">
        <v>50</v>
      </c>
      <c r="F153" s="11" t="s">
        <v>250</v>
      </c>
      <c r="G153" s="11" t="s">
        <v>17</v>
      </c>
      <c r="H153" s="11">
        <v>0</v>
      </c>
      <c r="I153" s="11" t="s">
        <v>242</v>
      </c>
      <c r="J153" s="11">
        <v>2</v>
      </c>
      <c r="K153" s="7" t="str">
        <f t="shared" si="0"/>
        <v>B351</v>
      </c>
      <c r="L153" s="8"/>
      <c r="M153" s="9" t="str">
        <f t="shared" si="1"/>
        <v>SVB1553</v>
      </c>
      <c r="N153" s="9">
        <f t="shared" si="2"/>
        <v>7</v>
      </c>
      <c r="O153" s="9" t="str">
        <f t="shared" si="3"/>
        <v>P/1SVB1553</v>
      </c>
    </row>
    <row r="154" spans="1:15" ht="17.5" x14ac:dyDescent="0.55000000000000004">
      <c r="A154" s="12" t="s">
        <v>238</v>
      </c>
      <c r="B154" s="6" t="s">
        <v>13</v>
      </c>
      <c r="C154" s="6" t="s">
        <v>260</v>
      </c>
      <c r="D154" s="5" t="s">
        <v>251</v>
      </c>
      <c r="E154" s="6" t="s">
        <v>50</v>
      </c>
      <c r="F154" s="6" t="s">
        <v>252</v>
      </c>
      <c r="G154" s="6" t="s">
        <v>17</v>
      </c>
      <c r="H154" s="6">
        <v>0</v>
      </c>
      <c r="I154" s="6" t="s">
        <v>242</v>
      </c>
      <c r="J154" s="6">
        <v>2</v>
      </c>
      <c r="K154" s="7" t="str">
        <f t="shared" si="0"/>
        <v>B351</v>
      </c>
      <c r="L154" s="8"/>
      <c r="M154" s="9" t="str">
        <f t="shared" si="1"/>
        <v>SVB1551</v>
      </c>
      <c r="N154" s="9">
        <f t="shared" si="2"/>
        <v>7</v>
      </c>
      <c r="O154" s="9" t="str">
        <f t="shared" si="3"/>
        <v>P/1SVB1551</v>
      </c>
    </row>
    <row r="155" spans="1:15" ht="17.5" x14ac:dyDescent="0.55000000000000004">
      <c r="A155" s="13" t="s">
        <v>238</v>
      </c>
      <c r="B155" s="11" t="s">
        <v>31</v>
      </c>
      <c r="C155" s="11" t="s">
        <v>261</v>
      </c>
      <c r="D155" s="10" t="s">
        <v>262</v>
      </c>
      <c r="E155" s="11" t="s">
        <v>16</v>
      </c>
      <c r="F155" s="11" t="s">
        <v>263</v>
      </c>
      <c r="G155" s="11" t="s">
        <v>17</v>
      </c>
      <c r="H155" s="11">
        <v>0</v>
      </c>
      <c r="I155" s="11" t="s">
        <v>242</v>
      </c>
      <c r="J155" s="11">
        <v>2</v>
      </c>
      <c r="K155" s="7" t="str">
        <f t="shared" si="0"/>
        <v>B351</v>
      </c>
      <c r="L155" s="8"/>
      <c r="M155" s="9" t="str">
        <f t="shared" si="1"/>
        <v>SVB1543</v>
      </c>
      <c r="N155" s="9">
        <f t="shared" si="2"/>
        <v>7</v>
      </c>
      <c r="O155" s="9" t="str">
        <f t="shared" si="3"/>
        <v>K/1SVB1543</v>
      </c>
    </row>
    <row r="156" spans="1:15" ht="17.5" x14ac:dyDescent="0.55000000000000004">
      <c r="A156" s="12" t="s">
        <v>238</v>
      </c>
      <c r="B156" s="6" t="s">
        <v>31</v>
      </c>
      <c r="C156" s="6" t="s">
        <v>14</v>
      </c>
      <c r="D156" s="5" t="s">
        <v>264</v>
      </c>
      <c r="E156" s="6" t="s">
        <v>16</v>
      </c>
      <c r="F156" s="6" t="s">
        <v>265</v>
      </c>
      <c r="G156" s="6" t="s">
        <v>17</v>
      </c>
      <c r="H156" s="6">
        <v>0</v>
      </c>
      <c r="I156" s="6" t="s">
        <v>242</v>
      </c>
      <c r="J156" s="6">
        <v>2</v>
      </c>
      <c r="K156" s="7" t="str">
        <f t="shared" si="0"/>
        <v>B351</v>
      </c>
      <c r="L156" s="8"/>
      <c r="M156" s="9" t="str">
        <f t="shared" si="1"/>
        <v>SVB1522</v>
      </c>
      <c r="N156" s="9">
        <f t="shared" si="2"/>
        <v>7</v>
      </c>
      <c r="O156" s="9" t="str">
        <f t="shared" si="3"/>
        <v>K/1SVB1522</v>
      </c>
    </row>
    <row r="157" spans="1:15" ht="17.5" x14ac:dyDescent="0.55000000000000004">
      <c r="A157" s="13" t="s">
        <v>238</v>
      </c>
      <c r="B157" s="11" t="s">
        <v>31</v>
      </c>
      <c r="C157" s="11" t="s">
        <v>19</v>
      </c>
      <c r="D157" s="10" t="s">
        <v>266</v>
      </c>
      <c r="E157" s="11" t="s">
        <v>16</v>
      </c>
      <c r="F157" s="11" t="s">
        <v>267</v>
      </c>
      <c r="G157" s="11" t="s">
        <v>17</v>
      </c>
      <c r="H157" s="11">
        <v>0</v>
      </c>
      <c r="I157" s="11" t="s">
        <v>242</v>
      </c>
      <c r="J157" s="11">
        <v>2</v>
      </c>
      <c r="K157" s="7" t="str">
        <f t="shared" si="0"/>
        <v>B351</v>
      </c>
      <c r="L157" s="8"/>
      <c r="M157" s="9" t="str">
        <f t="shared" si="1"/>
        <v>SVB1565</v>
      </c>
      <c r="N157" s="9">
        <f t="shared" si="2"/>
        <v>7</v>
      </c>
      <c r="O157" s="9" t="str">
        <f t="shared" si="3"/>
        <v>K/1SVB1565</v>
      </c>
    </row>
    <row r="158" spans="1:15" ht="17.5" x14ac:dyDescent="0.55000000000000004">
      <c r="A158" s="12" t="s">
        <v>238</v>
      </c>
      <c r="B158" s="6" t="s">
        <v>31</v>
      </c>
      <c r="C158" s="6" t="s">
        <v>268</v>
      </c>
      <c r="D158" s="5" t="s">
        <v>269</v>
      </c>
      <c r="E158" s="6" t="s">
        <v>16</v>
      </c>
      <c r="F158" s="6" t="s">
        <v>270</v>
      </c>
      <c r="G158" s="6" t="s">
        <v>17</v>
      </c>
      <c r="H158" s="6">
        <v>0</v>
      </c>
      <c r="I158" s="6" t="s">
        <v>242</v>
      </c>
      <c r="J158" s="6">
        <v>2</v>
      </c>
      <c r="K158" s="7" t="str">
        <f t="shared" si="0"/>
        <v>B351</v>
      </c>
      <c r="L158" s="8"/>
      <c r="M158" s="9" t="str">
        <f t="shared" si="1"/>
        <v>SVB1627</v>
      </c>
      <c r="N158" s="9">
        <f t="shared" si="2"/>
        <v>7</v>
      </c>
      <c r="O158" s="9" t="str">
        <f t="shared" si="3"/>
        <v>K/1SVB1627</v>
      </c>
    </row>
    <row r="159" spans="1:15" ht="17.5" x14ac:dyDescent="0.55000000000000004">
      <c r="A159" s="13" t="s">
        <v>238</v>
      </c>
      <c r="B159" s="11" t="s">
        <v>31</v>
      </c>
      <c r="C159" s="11" t="s">
        <v>271</v>
      </c>
      <c r="D159" s="10" t="s">
        <v>272</v>
      </c>
      <c r="E159" s="11" t="s">
        <v>16</v>
      </c>
      <c r="F159" s="11" t="s">
        <v>273</v>
      </c>
      <c r="G159" s="11" t="s">
        <v>17</v>
      </c>
      <c r="H159" s="11">
        <v>0</v>
      </c>
      <c r="I159" s="11" t="s">
        <v>242</v>
      </c>
      <c r="J159" s="11">
        <v>2</v>
      </c>
      <c r="K159" s="7" t="str">
        <f t="shared" si="0"/>
        <v>B351</v>
      </c>
      <c r="L159" s="8"/>
      <c r="M159" s="9" t="str">
        <f t="shared" si="1"/>
        <v>SVB1556</v>
      </c>
      <c r="N159" s="9">
        <f t="shared" si="2"/>
        <v>7</v>
      </c>
      <c r="O159" s="9" t="str">
        <f t="shared" si="3"/>
        <v>K/1SVB1556</v>
      </c>
    </row>
    <row r="160" spans="1:15" ht="17.5" x14ac:dyDescent="0.55000000000000004">
      <c r="A160" s="12" t="s">
        <v>238</v>
      </c>
      <c r="B160" s="6" t="s">
        <v>31</v>
      </c>
      <c r="C160" s="6" t="s">
        <v>23</v>
      </c>
      <c r="D160" s="5" t="s">
        <v>262</v>
      </c>
      <c r="E160" s="6" t="s">
        <v>50</v>
      </c>
      <c r="F160" s="6" t="s">
        <v>263</v>
      </c>
      <c r="G160" s="6" t="s">
        <v>17</v>
      </c>
      <c r="H160" s="6">
        <v>0</v>
      </c>
      <c r="I160" s="6" t="s">
        <v>242</v>
      </c>
      <c r="J160" s="6">
        <v>2</v>
      </c>
      <c r="K160" s="7" t="str">
        <f t="shared" si="0"/>
        <v>B351</v>
      </c>
      <c r="L160" s="8"/>
      <c r="M160" s="9" t="str">
        <f t="shared" si="1"/>
        <v>SVB1543</v>
      </c>
      <c r="N160" s="9">
        <f t="shared" si="2"/>
        <v>7</v>
      </c>
      <c r="O160" s="9" t="str">
        <f t="shared" si="3"/>
        <v>P/1SVB1543</v>
      </c>
    </row>
    <row r="161" spans="1:15" ht="17.5" x14ac:dyDescent="0.55000000000000004">
      <c r="A161" s="13" t="s">
        <v>238</v>
      </c>
      <c r="B161" s="11" t="s">
        <v>31</v>
      </c>
      <c r="C161" s="11" t="s">
        <v>23</v>
      </c>
      <c r="D161" s="10" t="s">
        <v>274</v>
      </c>
      <c r="E161" s="11" t="s">
        <v>16</v>
      </c>
      <c r="F161" s="11" t="s">
        <v>275</v>
      </c>
      <c r="G161" s="11" t="s">
        <v>17</v>
      </c>
      <c r="H161" s="11">
        <v>0</v>
      </c>
      <c r="I161" s="11" t="s">
        <v>242</v>
      </c>
      <c r="J161" s="11">
        <v>2</v>
      </c>
      <c r="K161" s="7" t="str">
        <f t="shared" si="0"/>
        <v>B351</v>
      </c>
      <c r="L161" s="8"/>
      <c r="M161" s="9" t="str">
        <f t="shared" si="1"/>
        <v>SVB156D</v>
      </c>
      <c r="N161" s="9">
        <f t="shared" si="2"/>
        <v>7</v>
      </c>
      <c r="O161" s="9" t="str">
        <f t="shared" si="3"/>
        <v>K/1SVB156D</v>
      </c>
    </row>
    <row r="162" spans="1:15" ht="17.5" x14ac:dyDescent="0.55000000000000004">
      <c r="A162" s="12" t="s">
        <v>238</v>
      </c>
      <c r="B162" s="6" t="s">
        <v>31</v>
      </c>
      <c r="C162" s="6" t="s">
        <v>276</v>
      </c>
      <c r="D162" s="5" t="s">
        <v>277</v>
      </c>
      <c r="E162" s="6" t="s">
        <v>16</v>
      </c>
      <c r="F162" s="6" t="s">
        <v>278</v>
      </c>
      <c r="G162" s="6" t="s">
        <v>17</v>
      </c>
      <c r="H162" s="6">
        <v>0</v>
      </c>
      <c r="I162" s="6" t="s">
        <v>242</v>
      </c>
      <c r="J162" s="6">
        <v>2</v>
      </c>
      <c r="K162" s="7" t="str">
        <f t="shared" si="0"/>
        <v>B351</v>
      </c>
      <c r="L162" s="8"/>
      <c r="M162" s="9" t="str">
        <f t="shared" si="1"/>
        <v>SVB1513</v>
      </c>
      <c r="N162" s="9">
        <f t="shared" si="2"/>
        <v>7</v>
      </c>
      <c r="O162" s="9" t="str">
        <f t="shared" si="3"/>
        <v>K/1SVB1513</v>
      </c>
    </row>
    <row r="163" spans="1:15" ht="17.5" x14ac:dyDescent="0.55000000000000004">
      <c r="A163" s="13" t="s">
        <v>238</v>
      </c>
      <c r="B163" s="11" t="s">
        <v>31</v>
      </c>
      <c r="C163" s="11" t="s">
        <v>279</v>
      </c>
      <c r="D163" s="10" t="s">
        <v>280</v>
      </c>
      <c r="E163" s="11" t="s">
        <v>50</v>
      </c>
      <c r="F163" s="11"/>
      <c r="G163" s="11" t="s">
        <v>17</v>
      </c>
      <c r="H163" s="11">
        <v>0</v>
      </c>
      <c r="I163" s="11" t="s">
        <v>242</v>
      </c>
      <c r="J163" s="11">
        <v>2</v>
      </c>
      <c r="K163" s="7" t="str">
        <f t="shared" si="0"/>
        <v>B351</v>
      </c>
      <c r="L163" s="8"/>
      <c r="M163" s="9" t="str">
        <f t="shared" si="1"/>
        <v>SVB1595</v>
      </c>
      <c r="N163" s="9">
        <f t="shared" si="2"/>
        <v>7</v>
      </c>
      <c r="O163" s="9" t="str">
        <f t="shared" si="3"/>
        <v>P/1SVB1595</v>
      </c>
    </row>
    <row r="164" spans="1:15" ht="17.5" x14ac:dyDescent="0.55000000000000004">
      <c r="A164" s="12" t="s">
        <v>238</v>
      </c>
      <c r="B164" s="6" t="s">
        <v>31</v>
      </c>
      <c r="C164" s="6" t="s">
        <v>281</v>
      </c>
      <c r="D164" s="5" t="s">
        <v>282</v>
      </c>
      <c r="E164" s="6" t="s">
        <v>16</v>
      </c>
      <c r="F164" s="6" t="s">
        <v>250</v>
      </c>
      <c r="G164" s="6" t="s">
        <v>17</v>
      </c>
      <c r="H164" s="6">
        <v>0</v>
      </c>
      <c r="I164" s="6" t="s">
        <v>242</v>
      </c>
      <c r="J164" s="6">
        <v>2</v>
      </c>
      <c r="K164" s="7" t="str">
        <f t="shared" si="0"/>
        <v>B351</v>
      </c>
      <c r="L164" s="8"/>
      <c r="M164" s="9" t="str">
        <f t="shared" si="1"/>
        <v>SVB1552</v>
      </c>
      <c r="N164" s="9">
        <f t="shared" si="2"/>
        <v>7</v>
      </c>
      <c r="O164" s="9" t="str">
        <f t="shared" si="3"/>
        <v>K/1SVB1552</v>
      </c>
    </row>
    <row r="165" spans="1:15" ht="17.5" x14ac:dyDescent="0.55000000000000004">
      <c r="A165" s="13" t="s">
        <v>238</v>
      </c>
      <c r="B165" s="11" t="s">
        <v>31</v>
      </c>
      <c r="C165" s="11" t="s">
        <v>283</v>
      </c>
      <c r="D165" s="10" t="s">
        <v>264</v>
      </c>
      <c r="E165" s="11" t="s">
        <v>50</v>
      </c>
      <c r="F165" s="11" t="s">
        <v>265</v>
      </c>
      <c r="G165" s="11" t="s">
        <v>17</v>
      </c>
      <c r="H165" s="11">
        <v>0</v>
      </c>
      <c r="I165" s="11" t="s">
        <v>242</v>
      </c>
      <c r="J165" s="11">
        <v>2</v>
      </c>
      <c r="K165" s="7" t="str">
        <f t="shared" si="0"/>
        <v>B351</v>
      </c>
      <c r="L165" s="8"/>
      <c r="M165" s="9" t="str">
        <f t="shared" si="1"/>
        <v>SVB1522</v>
      </c>
      <c r="N165" s="9">
        <f t="shared" si="2"/>
        <v>7</v>
      </c>
      <c r="O165" s="9" t="str">
        <f t="shared" si="3"/>
        <v>P/1SVB1522</v>
      </c>
    </row>
    <row r="166" spans="1:15" ht="17.5" x14ac:dyDescent="0.55000000000000004">
      <c r="A166" s="12" t="s">
        <v>238</v>
      </c>
      <c r="B166" s="6" t="s">
        <v>31</v>
      </c>
      <c r="C166" s="6" t="s">
        <v>283</v>
      </c>
      <c r="D166" s="5" t="s">
        <v>272</v>
      </c>
      <c r="E166" s="6" t="s">
        <v>50</v>
      </c>
      <c r="F166" s="6" t="s">
        <v>273</v>
      </c>
      <c r="G166" s="6" t="s">
        <v>17</v>
      </c>
      <c r="H166" s="6">
        <v>0</v>
      </c>
      <c r="I166" s="6" t="s">
        <v>242</v>
      </c>
      <c r="J166" s="6">
        <v>2</v>
      </c>
      <c r="K166" s="7" t="str">
        <f t="shared" si="0"/>
        <v>B351</v>
      </c>
      <c r="L166" s="8"/>
      <c r="M166" s="9" t="str">
        <f t="shared" si="1"/>
        <v>SVB1556</v>
      </c>
      <c r="N166" s="9">
        <f t="shared" si="2"/>
        <v>7</v>
      </c>
      <c r="O166" s="9" t="str">
        <f t="shared" si="3"/>
        <v>P/1SVB1556</v>
      </c>
    </row>
    <row r="167" spans="1:15" ht="17.5" x14ac:dyDescent="0.55000000000000004">
      <c r="A167" s="13" t="s">
        <v>238</v>
      </c>
      <c r="B167" s="11" t="s">
        <v>31</v>
      </c>
      <c r="C167" s="11" t="s">
        <v>283</v>
      </c>
      <c r="D167" s="10" t="s">
        <v>269</v>
      </c>
      <c r="E167" s="11" t="s">
        <v>50</v>
      </c>
      <c r="F167" s="11" t="s">
        <v>270</v>
      </c>
      <c r="G167" s="11" t="s">
        <v>17</v>
      </c>
      <c r="H167" s="11">
        <v>0</v>
      </c>
      <c r="I167" s="11" t="s">
        <v>242</v>
      </c>
      <c r="J167" s="11">
        <v>2</v>
      </c>
      <c r="K167" s="7" t="str">
        <f t="shared" si="0"/>
        <v>B351</v>
      </c>
      <c r="L167" s="8"/>
      <c r="M167" s="9" t="str">
        <f t="shared" si="1"/>
        <v>SVB1627</v>
      </c>
      <c r="N167" s="9">
        <f t="shared" si="2"/>
        <v>7</v>
      </c>
      <c r="O167" s="9" t="str">
        <f t="shared" si="3"/>
        <v>P/1SVB1627</v>
      </c>
    </row>
    <row r="168" spans="1:15" ht="17.5" x14ac:dyDescent="0.55000000000000004">
      <c r="A168" s="12" t="s">
        <v>238</v>
      </c>
      <c r="B168" s="6" t="s">
        <v>31</v>
      </c>
      <c r="C168" s="6" t="s">
        <v>284</v>
      </c>
      <c r="D168" s="5" t="s">
        <v>285</v>
      </c>
      <c r="E168" s="6" t="s">
        <v>16</v>
      </c>
      <c r="F168" s="6" t="s">
        <v>286</v>
      </c>
      <c r="G168" s="6" t="s">
        <v>17</v>
      </c>
      <c r="H168" s="6">
        <v>0</v>
      </c>
      <c r="I168" s="6" t="s">
        <v>242</v>
      </c>
      <c r="J168" s="6">
        <v>2</v>
      </c>
      <c r="K168" s="7" t="str">
        <f t="shared" si="0"/>
        <v>B351</v>
      </c>
      <c r="L168" s="8"/>
      <c r="M168" s="9" t="str">
        <f t="shared" si="1"/>
        <v>SVB1561</v>
      </c>
      <c r="N168" s="9">
        <f t="shared" si="2"/>
        <v>7</v>
      </c>
      <c r="O168" s="9" t="str">
        <f t="shared" si="3"/>
        <v>K/1SVB1561</v>
      </c>
    </row>
    <row r="169" spans="1:15" ht="17.5" x14ac:dyDescent="0.55000000000000004">
      <c r="A169" s="13" t="s">
        <v>238</v>
      </c>
      <c r="B169" s="11" t="s">
        <v>31</v>
      </c>
      <c r="C169" s="11" t="s">
        <v>64</v>
      </c>
      <c r="D169" s="10" t="s">
        <v>287</v>
      </c>
      <c r="E169" s="11" t="s">
        <v>16</v>
      </c>
      <c r="F169" s="11" t="s">
        <v>288</v>
      </c>
      <c r="G169" s="11" t="s">
        <v>17</v>
      </c>
      <c r="H169" s="11">
        <v>0</v>
      </c>
      <c r="I169" s="11" t="s">
        <v>242</v>
      </c>
      <c r="J169" s="11">
        <v>2</v>
      </c>
      <c r="K169" s="7" t="str">
        <f t="shared" si="0"/>
        <v>B351</v>
      </c>
      <c r="L169" s="8"/>
      <c r="M169" s="9" t="str">
        <f t="shared" si="1"/>
        <v>SVB151C</v>
      </c>
      <c r="N169" s="9">
        <f t="shared" si="2"/>
        <v>7</v>
      </c>
      <c r="O169" s="9" t="str">
        <f t="shared" si="3"/>
        <v>K/1SVB151C</v>
      </c>
    </row>
    <row r="170" spans="1:15" ht="17.5" x14ac:dyDescent="0.55000000000000004">
      <c r="A170" s="12" t="s">
        <v>238</v>
      </c>
      <c r="B170" s="6" t="s">
        <v>31</v>
      </c>
      <c r="C170" s="6" t="s">
        <v>256</v>
      </c>
      <c r="D170" s="5" t="s">
        <v>274</v>
      </c>
      <c r="E170" s="6" t="s">
        <v>50</v>
      </c>
      <c r="F170" s="6" t="s">
        <v>275</v>
      </c>
      <c r="G170" s="6" t="s">
        <v>17</v>
      </c>
      <c r="H170" s="6">
        <v>0</v>
      </c>
      <c r="I170" s="6" t="s">
        <v>242</v>
      </c>
      <c r="J170" s="6">
        <v>2</v>
      </c>
      <c r="K170" s="7" t="str">
        <f t="shared" si="0"/>
        <v>B351</v>
      </c>
      <c r="L170" s="8"/>
      <c r="M170" s="9" t="str">
        <f t="shared" si="1"/>
        <v>SVB156D</v>
      </c>
      <c r="N170" s="9">
        <f t="shared" si="2"/>
        <v>7</v>
      </c>
      <c r="O170" s="9" t="str">
        <f t="shared" si="3"/>
        <v>P/1SVB156D</v>
      </c>
    </row>
    <row r="171" spans="1:15" ht="17.5" x14ac:dyDescent="0.55000000000000004">
      <c r="A171" s="13" t="s">
        <v>238</v>
      </c>
      <c r="B171" s="11" t="s">
        <v>31</v>
      </c>
      <c r="C171" s="11" t="s">
        <v>289</v>
      </c>
      <c r="D171" s="10" t="s">
        <v>282</v>
      </c>
      <c r="E171" s="11" t="s">
        <v>50</v>
      </c>
      <c r="F171" s="11" t="s">
        <v>250</v>
      </c>
      <c r="G171" s="11" t="s">
        <v>17</v>
      </c>
      <c r="H171" s="11">
        <v>0</v>
      </c>
      <c r="I171" s="11" t="s">
        <v>242</v>
      </c>
      <c r="J171" s="11">
        <v>2</v>
      </c>
      <c r="K171" s="7" t="str">
        <f t="shared" si="0"/>
        <v>B351</v>
      </c>
      <c r="L171" s="8"/>
      <c r="M171" s="9" t="str">
        <f t="shared" si="1"/>
        <v>SVB1552</v>
      </c>
      <c r="N171" s="9">
        <f t="shared" si="2"/>
        <v>7</v>
      </c>
      <c r="O171" s="9" t="str">
        <f t="shared" si="3"/>
        <v>P/1SVB1552</v>
      </c>
    </row>
    <row r="172" spans="1:15" ht="17.5" x14ac:dyDescent="0.55000000000000004">
      <c r="A172" s="12" t="s">
        <v>238</v>
      </c>
      <c r="B172" s="6" t="s">
        <v>31</v>
      </c>
      <c r="C172" s="6" t="s">
        <v>290</v>
      </c>
      <c r="D172" s="5" t="s">
        <v>291</v>
      </c>
      <c r="E172" s="6" t="s">
        <v>16</v>
      </c>
      <c r="F172" s="6" t="s">
        <v>292</v>
      </c>
      <c r="G172" s="6" t="s">
        <v>17</v>
      </c>
      <c r="H172" s="6">
        <v>0</v>
      </c>
      <c r="I172" s="6" t="s">
        <v>242</v>
      </c>
      <c r="J172" s="6">
        <v>2</v>
      </c>
      <c r="K172" s="7" t="str">
        <f t="shared" si="0"/>
        <v>B351</v>
      </c>
      <c r="L172" s="8"/>
      <c r="M172" s="9" t="str">
        <f t="shared" si="1"/>
        <v>SVB1557</v>
      </c>
      <c r="N172" s="9">
        <f t="shared" si="2"/>
        <v>7</v>
      </c>
      <c r="O172" s="9" t="str">
        <f t="shared" si="3"/>
        <v>K/1SVB1557</v>
      </c>
    </row>
    <row r="173" spans="1:15" ht="17.5" x14ac:dyDescent="0.55000000000000004">
      <c r="A173" s="13" t="s">
        <v>238</v>
      </c>
      <c r="B173" s="11" t="s">
        <v>31</v>
      </c>
      <c r="C173" s="11" t="s">
        <v>290</v>
      </c>
      <c r="D173" s="10" t="s">
        <v>266</v>
      </c>
      <c r="E173" s="11" t="s">
        <v>50</v>
      </c>
      <c r="F173" s="11" t="s">
        <v>267</v>
      </c>
      <c r="G173" s="11" t="s">
        <v>17</v>
      </c>
      <c r="H173" s="11">
        <v>0</v>
      </c>
      <c r="I173" s="11" t="s">
        <v>242</v>
      </c>
      <c r="J173" s="11">
        <v>2</v>
      </c>
      <c r="K173" s="7" t="str">
        <f t="shared" si="0"/>
        <v>B351</v>
      </c>
      <c r="L173" s="8"/>
      <c r="M173" s="9" t="str">
        <f t="shared" si="1"/>
        <v>SVB1565</v>
      </c>
      <c r="N173" s="9">
        <f t="shared" si="2"/>
        <v>7</v>
      </c>
      <c r="O173" s="9" t="str">
        <f t="shared" si="3"/>
        <v>P/1SVB1565</v>
      </c>
    </row>
    <row r="174" spans="1:15" ht="17.5" x14ac:dyDescent="0.55000000000000004">
      <c r="A174" s="12" t="s">
        <v>238</v>
      </c>
      <c r="B174" s="6" t="s">
        <v>31</v>
      </c>
      <c r="C174" s="6" t="s">
        <v>38</v>
      </c>
      <c r="D174" s="5" t="s">
        <v>293</v>
      </c>
      <c r="E174" s="6" t="s">
        <v>16</v>
      </c>
      <c r="F174" s="6" t="s">
        <v>294</v>
      </c>
      <c r="G174" s="6" t="s">
        <v>17</v>
      </c>
      <c r="H174" s="6">
        <v>0</v>
      </c>
      <c r="I174" s="6" t="s">
        <v>242</v>
      </c>
      <c r="J174" s="6">
        <v>2</v>
      </c>
      <c r="K174" s="7" t="str">
        <f t="shared" si="0"/>
        <v>B351</v>
      </c>
      <c r="L174" s="8"/>
      <c r="M174" s="9" t="str">
        <f t="shared" si="1"/>
        <v>SVB1626</v>
      </c>
      <c r="N174" s="9">
        <f t="shared" si="2"/>
        <v>7</v>
      </c>
      <c r="O174" s="9" t="str">
        <f t="shared" si="3"/>
        <v>K/1SVB1626</v>
      </c>
    </row>
    <row r="175" spans="1:15" ht="17.5" x14ac:dyDescent="0.55000000000000004">
      <c r="A175" s="13" t="s">
        <v>238</v>
      </c>
      <c r="B175" s="11" t="s">
        <v>41</v>
      </c>
      <c r="C175" s="11" t="s">
        <v>295</v>
      </c>
      <c r="D175" s="10" t="s">
        <v>296</v>
      </c>
      <c r="E175" s="11" t="s">
        <v>16</v>
      </c>
      <c r="F175" s="11" t="s">
        <v>297</v>
      </c>
      <c r="G175" s="11" t="s">
        <v>17</v>
      </c>
      <c r="H175" s="11">
        <v>0</v>
      </c>
      <c r="I175" s="11" t="s">
        <v>242</v>
      </c>
      <c r="J175" s="11">
        <v>2</v>
      </c>
      <c r="K175" s="7" t="str">
        <f t="shared" si="0"/>
        <v>B351</v>
      </c>
      <c r="L175" s="8"/>
      <c r="M175" s="9" t="str">
        <f t="shared" si="1"/>
        <v>STA1515</v>
      </c>
      <c r="N175" s="9">
        <f t="shared" si="2"/>
        <v>7</v>
      </c>
      <c r="O175" s="9" t="str">
        <f t="shared" si="3"/>
        <v>K/1STA1515</v>
      </c>
    </row>
    <row r="176" spans="1:15" ht="17.5" x14ac:dyDescent="0.55000000000000004">
      <c r="A176" s="12" t="s">
        <v>238</v>
      </c>
      <c r="B176" s="6" t="s">
        <v>41</v>
      </c>
      <c r="C176" s="6" t="s">
        <v>19</v>
      </c>
      <c r="D176" s="5" t="s">
        <v>298</v>
      </c>
      <c r="E176" s="6" t="s">
        <v>16</v>
      </c>
      <c r="F176" s="6" t="s">
        <v>299</v>
      </c>
      <c r="G176" s="6" t="s">
        <v>17</v>
      </c>
      <c r="H176" s="6">
        <v>0</v>
      </c>
      <c r="I176" s="6" t="s">
        <v>242</v>
      </c>
      <c r="J176" s="6">
        <v>2</v>
      </c>
      <c r="K176" s="7" t="str">
        <f t="shared" si="0"/>
        <v>B351</v>
      </c>
      <c r="L176" s="8"/>
      <c r="M176" s="9" t="str">
        <f t="shared" si="1"/>
        <v>SVB1625</v>
      </c>
      <c r="N176" s="9">
        <f t="shared" si="2"/>
        <v>7</v>
      </c>
      <c r="O176" s="9" t="str">
        <f t="shared" si="3"/>
        <v>K/1SVB1625</v>
      </c>
    </row>
    <row r="177" spans="1:15" ht="17.5" x14ac:dyDescent="0.55000000000000004">
      <c r="A177" s="13" t="s">
        <v>238</v>
      </c>
      <c r="B177" s="11" t="s">
        <v>41</v>
      </c>
      <c r="C177" s="11" t="s">
        <v>300</v>
      </c>
      <c r="D177" s="10" t="s">
        <v>301</v>
      </c>
      <c r="E177" s="11" t="s">
        <v>50</v>
      </c>
      <c r="F177" s="11"/>
      <c r="G177" s="11" t="s">
        <v>17</v>
      </c>
      <c r="H177" s="11">
        <v>0</v>
      </c>
      <c r="I177" s="11" t="s">
        <v>242</v>
      </c>
      <c r="J177" s="11">
        <v>2</v>
      </c>
      <c r="K177" s="7" t="str">
        <f t="shared" si="0"/>
        <v>B351</v>
      </c>
      <c r="L177" s="8"/>
      <c r="M177" s="9" t="str">
        <f t="shared" si="1"/>
        <v>SVB1596</v>
      </c>
      <c r="N177" s="9">
        <f t="shared" si="2"/>
        <v>7</v>
      </c>
      <c r="O177" s="9" t="str">
        <f t="shared" si="3"/>
        <v>P/1SVB1596</v>
      </c>
    </row>
    <row r="178" spans="1:15" ht="17.5" x14ac:dyDescent="0.55000000000000004">
      <c r="A178" s="12" t="s">
        <v>238</v>
      </c>
      <c r="B178" s="6" t="s">
        <v>41</v>
      </c>
      <c r="C178" s="6" t="s">
        <v>268</v>
      </c>
      <c r="D178" s="5" t="s">
        <v>302</v>
      </c>
      <c r="E178" s="6" t="s">
        <v>16</v>
      </c>
      <c r="F178" s="6" t="s">
        <v>303</v>
      </c>
      <c r="G178" s="6" t="s">
        <v>17</v>
      </c>
      <c r="H178" s="6">
        <v>0</v>
      </c>
      <c r="I178" s="6" t="s">
        <v>242</v>
      </c>
      <c r="J178" s="6">
        <v>2</v>
      </c>
      <c r="K178" s="7" t="str">
        <f t="shared" si="0"/>
        <v>B351</v>
      </c>
      <c r="L178" s="8"/>
      <c r="M178" s="9" t="str">
        <f t="shared" si="1"/>
        <v>SVB1555</v>
      </c>
      <c r="N178" s="9">
        <f t="shared" si="2"/>
        <v>7</v>
      </c>
      <c r="O178" s="9" t="str">
        <f t="shared" si="3"/>
        <v>K/1SVB1555</v>
      </c>
    </row>
    <row r="179" spans="1:15" ht="17.5" x14ac:dyDescent="0.55000000000000004">
      <c r="A179" s="13" t="s">
        <v>238</v>
      </c>
      <c r="B179" s="11" t="s">
        <v>41</v>
      </c>
      <c r="C179" s="11" t="s">
        <v>191</v>
      </c>
      <c r="D179" s="10" t="s">
        <v>304</v>
      </c>
      <c r="E179" s="11" t="s">
        <v>16</v>
      </c>
      <c r="F179" s="11" t="s">
        <v>305</v>
      </c>
      <c r="G179" s="11" t="s">
        <v>17</v>
      </c>
      <c r="H179" s="11">
        <v>0</v>
      </c>
      <c r="I179" s="11" t="s">
        <v>242</v>
      </c>
      <c r="J179" s="11">
        <v>2</v>
      </c>
      <c r="K179" s="7" t="str">
        <f t="shared" si="0"/>
        <v>B351</v>
      </c>
      <c r="L179" s="8"/>
      <c r="M179" s="9" t="str">
        <f t="shared" si="1"/>
        <v>SVB1634</v>
      </c>
      <c r="N179" s="9">
        <f t="shared" si="2"/>
        <v>7</v>
      </c>
      <c r="O179" s="9" t="str">
        <f t="shared" si="3"/>
        <v>K/1SVB1634</v>
      </c>
    </row>
    <row r="180" spans="1:15" ht="17.5" x14ac:dyDescent="0.55000000000000004">
      <c r="A180" s="12" t="s">
        <v>238</v>
      </c>
      <c r="B180" s="6" t="s">
        <v>41</v>
      </c>
      <c r="C180" s="6" t="s">
        <v>281</v>
      </c>
      <c r="D180" s="5" t="s">
        <v>306</v>
      </c>
      <c r="E180" s="6" t="s">
        <v>16</v>
      </c>
      <c r="F180" s="6" t="s">
        <v>307</v>
      </c>
      <c r="G180" s="6" t="s">
        <v>17</v>
      </c>
      <c r="H180" s="6">
        <v>0</v>
      </c>
      <c r="I180" s="6" t="s">
        <v>242</v>
      </c>
      <c r="J180" s="6">
        <v>2</v>
      </c>
      <c r="K180" s="7" t="str">
        <f t="shared" si="0"/>
        <v>B351</v>
      </c>
      <c r="L180" s="8"/>
      <c r="M180" s="9" t="str">
        <f t="shared" si="1"/>
        <v>SVB1562</v>
      </c>
      <c r="N180" s="9">
        <f t="shared" si="2"/>
        <v>7</v>
      </c>
      <c r="O180" s="9" t="str">
        <f t="shared" si="3"/>
        <v>K/1SVB1562</v>
      </c>
    </row>
    <row r="181" spans="1:15" ht="17.5" x14ac:dyDescent="0.55000000000000004">
      <c r="A181" s="13" t="s">
        <v>238</v>
      </c>
      <c r="B181" s="11" t="s">
        <v>41</v>
      </c>
      <c r="C181" s="11" t="s">
        <v>281</v>
      </c>
      <c r="D181" s="10" t="s">
        <v>298</v>
      </c>
      <c r="E181" s="11" t="s">
        <v>50</v>
      </c>
      <c r="F181" s="11" t="s">
        <v>299</v>
      </c>
      <c r="G181" s="11" t="s">
        <v>17</v>
      </c>
      <c r="H181" s="11">
        <v>0</v>
      </c>
      <c r="I181" s="11" t="s">
        <v>242</v>
      </c>
      <c r="J181" s="11">
        <v>2</v>
      </c>
      <c r="K181" s="7" t="str">
        <f t="shared" si="0"/>
        <v>B351</v>
      </c>
      <c r="L181" s="8"/>
      <c r="M181" s="9" t="str">
        <f t="shared" si="1"/>
        <v>SVB1625</v>
      </c>
      <c r="N181" s="9">
        <f t="shared" si="2"/>
        <v>7</v>
      </c>
      <c r="O181" s="9" t="str">
        <f t="shared" si="3"/>
        <v>P/1SVB1625</v>
      </c>
    </row>
    <row r="182" spans="1:15" ht="17.5" x14ac:dyDescent="0.55000000000000004">
      <c r="A182" s="12" t="s">
        <v>238</v>
      </c>
      <c r="B182" s="6" t="s">
        <v>41</v>
      </c>
      <c r="C182" s="6" t="s">
        <v>283</v>
      </c>
      <c r="D182" s="5" t="s">
        <v>302</v>
      </c>
      <c r="E182" s="6" t="s">
        <v>50</v>
      </c>
      <c r="F182" s="6" t="s">
        <v>303</v>
      </c>
      <c r="G182" s="6" t="s">
        <v>17</v>
      </c>
      <c r="H182" s="6">
        <v>0</v>
      </c>
      <c r="I182" s="6" t="s">
        <v>242</v>
      </c>
      <c r="J182" s="6">
        <v>2</v>
      </c>
      <c r="K182" s="7" t="str">
        <f t="shared" si="0"/>
        <v>B351</v>
      </c>
      <c r="L182" s="8"/>
      <c r="M182" s="9" t="str">
        <f t="shared" si="1"/>
        <v>SVB1555</v>
      </c>
      <c r="N182" s="9">
        <f t="shared" si="2"/>
        <v>7</v>
      </c>
      <c r="O182" s="9" t="str">
        <f t="shared" si="3"/>
        <v>P/1SVB1555</v>
      </c>
    </row>
    <row r="183" spans="1:15" ht="17.5" x14ac:dyDescent="0.55000000000000004">
      <c r="A183" s="13" t="s">
        <v>238</v>
      </c>
      <c r="B183" s="11" t="s">
        <v>41</v>
      </c>
      <c r="C183" s="11" t="s">
        <v>256</v>
      </c>
      <c r="D183" s="10" t="s">
        <v>296</v>
      </c>
      <c r="E183" s="11" t="s">
        <v>50</v>
      </c>
      <c r="F183" s="11" t="s">
        <v>297</v>
      </c>
      <c r="G183" s="11" t="s">
        <v>17</v>
      </c>
      <c r="H183" s="11">
        <v>0</v>
      </c>
      <c r="I183" s="11" t="s">
        <v>242</v>
      </c>
      <c r="J183" s="11">
        <v>2</v>
      </c>
      <c r="K183" s="7" t="str">
        <f t="shared" si="0"/>
        <v>B351</v>
      </c>
      <c r="L183" s="8"/>
      <c r="M183" s="9" t="str">
        <f t="shared" si="1"/>
        <v>STA1515</v>
      </c>
      <c r="N183" s="9">
        <f t="shared" si="2"/>
        <v>7</v>
      </c>
      <c r="O183" s="9" t="str">
        <f t="shared" si="3"/>
        <v>P/1STA1515</v>
      </c>
    </row>
    <row r="184" spans="1:15" ht="17.5" x14ac:dyDescent="0.55000000000000004">
      <c r="A184" s="12" t="s">
        <v>238</v>
      </c>
      <c r="B184" s="6" t="s">
        <v>41</v>
      </c>
      <c r="C184" s="6" t="s">
        <v>308</v>
      </c>
      <c r="D184" s="5" t="s">
        <v>309</v>
      </c>
      <c r="E184" s="6" t="s">
        <v>50</v>
      </c>
      <c r="F184" s="6" t="s">
        <v>310</v>
      </c>
      <c r="G184" s="6" t="s">
        <v>17</v>
      </c>
      <c r="H184" s="6">
        <v>0</v>
      </c>
      <c r="I184" s="6" t="s">
        <v>242</v>
      </c>
      <c r="J184" s="6">
        <v>2</v>
      </c>
      <c r="K184" s="7" t="str">
        <f t="shared" si="0"/>
        <v>B351</v>
      </c>
      <c r="L184" s="8"/>
      <c r="M184" s="9" t="str">
        <f t="shared" si="1"/>
        <v>SVB1545</v>
      </c>
      <c r="N184" s="9">
        <f t="shared" si="2"/>
        <v>7</v>
      </c>
      <c r="O184" s="9" t="str">
        <f t="shared" si="3"/>
        <v>P/1SVB1545</v>
      </c>
    </row>
    <row r="185" spans="1:15" ht="17.5" x14ac:dyDescent="0.55000000000000004">
      <c r="A185" s="13" t="s">
        <v>238</v>
      </c>
      <c r="B185" s="11" t="s">
        <v>47</v>
      </c>
      <c r="C185" s="11" t="s">
        <v>139</v>
      </c>
      <c r="D185" s="10" t="s">
        <v>311</v>
      </c>
      <c r="E185" s="11" t="s">
        <v>16</v>
      </c>
      <c r="F185" s="11" t="s">
        <v>312</v>
      </c>
      <c r="G185" s="11" t="s">
        <v>17</v>
      </c>
      <c r="H185" s="11">
        <v>0</v>
      </c>
      <c r="I185" s="11" t="s">
        <v>242</v>
      </c>
      <c r="J185" s="11">
        <v>2</v>
      </c>
      <c r="K185" s="7" t="str">
        <f t="shared" si="0"/>
        <v>B351</v>
      </c>
      <c r="L185" s="8"/>
      <c r="M185" s="9" t="str">
        <f t="shared" si="1"/>
        <v>SVB156C</v>
      </c>
      <c r="N185" s="9">
        <f t="shared" si="2"/>
        <v>7</v>
      </c>
      <c r="O185" s="9" t="str">
        <f t="shared" si="3"/>
        <v>K/1SVB156C</v>
      </c>
    </row>
    <row r="186" spans="1:15" ht="17.5" x14ac:dyDescent="0.55000000000000004">
      <c r="A186" s="12" t="s">
        <v>238</v>
      </c>
      <c r="B186" s="6" t="s">
        <v>47</v>
      </c>
      <c r="C186" s="6" t="s">
        <v>14</v>
      </c>
      <c r="D186" s="5" t="s">
        <v>313</v>
      </c>
      <c r="E186" s="6" t="s">
        <v>16</v>
      </c>
      <c r="F186" s="6" t="s">
        <v>314</v>
      </c>
      <c r="G186" s="6" t="s">
        <v>17</v>
      </c>
      <c r="H186" s="6">
        <v>0</v>
      </c>
      <c r="I186" s="6" t="s">
        <v>242</v>
      </c>
      <c r="J186" s="6">
        <v>2</v>
      </c>
      <c r="K186" s="7" t="str">
        <f t="shared" si="0"/>
        <v>B351</v>
      </c>
      <c r="L186" s="8"/>
      <c r="M186" s="9" t="str">
        <f t="shared" si="1"/>
        <v>SVB1566</v>
      </c>
      <c r="N186" s="9">
        <f t="shared" si="2"/>
        <v>7</v>
      </c>
      <c r="O186" s="9" t="str">
        <f t="shared" si="3"/>
        <v>K/1SVB1566</v>
      </c>
    </row>
    <row r="187" spans="1:15" ht="17.5" x14ac:dyDescent="0.55000000000000004">
      <c r="A187" s="13" t="s">
        <v>238</v>
      </c>
      <c r="B187" s="11" t="s">
        <v>47</v>
      </c>
      <c r="C187" s="11" t="s">
        <v>19</v>
      </c>
      <c r="D187" s="10" t="s">
        <v>315</v>
      </c>
      <c r="E187" s="11" t="s">
        <v>16</v>
      </c>
      <c r="F187" s="11" t="s">
        <v>316</v>
      </c>
      <c r="G187" s="11" t="s">
        <v>17</v>
      </c>
      <c r="H187" s="11">
        <v>0</v>
      </c>
      <c r="I187" s="11" t="s">
        <v>242</v>
      </c>
      <c r="J187" s="11">
        <v>2</v>
      </c>
      <c r="K187" s="7" t="str">
        <f t="shared" si="0"/>
        <v>B351</v>
      </c>
      <c r="L187" s="8"/>
      <c r="M187" s="9" t="str">
        <f t="shared" si="1"/>
        <v>SVB1563</v>
      </c>
      <c r="N187" s="9">
        <f t="shared" si="2"/>
        <v>7</v>
      </c>
      <c r="O187" s="9" t="str">
        <f t="shared" si="3"/>
        <v>K/1SVB1563</v>
      </c>
    </row>
    <row r="188" spans="1:15" ht="17.5" x14ac:dyDescent="0.55000000000000004">
      <c r="A188" s="12" t="s">
        <v>238</v>
      </c>
      <c r="B188" s="6" t="s">
        <v>47</v>
      </c>
      <c r="C188" s="6" t="s">
        <v>268</v>
      </c>
      <c r="D188" s="5" t="s">
        <v>317</v>
      </c>
      <c r="E188" s="6" t="s">
        <v>16</v>
      </c>
      <c r="F188" s="6" t="s">
        <v>318</v>
      </c>
      <c r="G188" s="6" t="s">
        <v>17</v>
      </c>
      <c r="H188" s="6">
        <v>0</v>
      </c>
      <c r="I188" s="6" t="s">
        <v>242</v>
      </c>
      <c r="J188" s="6">
        <v>2</v>
      </c>
      <c r="K188" s="7" t="str">
        <f t="shared" si="0"/>
        <v>B351</v>
      </c>
      <c r="L188" s="8"/>
      <c r="M188" s="9" t="str">
        <f t="shared" si="1"/>
        <v>SVB1541</v>
      </c>
      <c r="N188" s="9">
        <f t="shared" si="2"/>
        <v>7</v>
      </c>
      <c r="O188" s="9" t="str">
        <f t="shared" si="3"/>
        <v>K/1SVB1541</v>
      </c>
    </row>
    <row r="189" spans="1:15" ht="17.5" x14ac:dyDescent="0.55000000000000004">
      <c r="A189" s="13" t="s">
        <v>238</v>
      </c>
      <c r="B189" s="11" t="s">
        <v>47</v>
      </c>
      <c r="C189" s="11" t="s">
        <v>191</v>
      </c>
      <c r="D189" s="10" t="s">
        <v>319</v>
      </c>
      <c r="E189" s="11" t="s">
        <v>16</v>
      </c>
      <c r="F189" s="11" t="s">
        <v>320</v>
      </c>
      <c r="G189" s="11" t="s">
        <v>17</v>
      </c>
      <c r="H189" s="11">
        <v>0</v>
      </c>
      <c r="I189" s="11" t="s">
        <v>242</v>
      </c>
      <c r="J189" s="11">
        <v>1</v>
      </c>
      <c r="K189" s="7" t="str">
        <f t="shared" si="0"/>
        <v>B351</v>
      </c>
      <c r="L189" s="8"/>
      <c r="M189" s="9" t="str">
        <f t="shared" si="1"/>
        <v>SVB1521</v>
      </c>
      <c r="N189" s="9">
        <f t="shared" si="2"/>
        <v>7</v>
      </c>
      <c r="O189" s="9" t="str">
        <f t="shared" si="3"/>
        <v>K/1SVB1521</v>
      </c>
    </row>
    <row r="190" spans="1:15" ht="17.5" x14ac:dyDescent="0.55000000000000004">
      <c r="A190" s="12" t="s">
        <v>238</v>
      </c>
      <c r="B190" s="6" t="s">
        <v>47</v>
      </c>
      <c r="C190" s="6" t="s">
        <v>23</v>
      </c>
      <c r="D190" s="5" t="s">
        <v>321</v>
      </c>
      <c r="E190" s="6" t="s">
        <v>16</v>
      </c>
      <c r="F190" s="6" t="s">
        <v>322</v>
      </c>
      <c r="G190" s="6" t="s">
        <v>17</v>
      </c>
      <c r="H190" s="6">
        <v>0</v>
      </c>
      <c r="I190" s="6" t="s">
        <v>242</v>
      </c>
      <c r="J190" s="6">
        <v>2</v>
      </c>
      <c r="K190" s="7" t="str">
        <f t="shared" si="0"/>
        <v>B351</v>
      </c>
      <c r="L190" s="8"/>
      <c r="M190" s="9" t="str">
        <f t="shared" si="1"/>
        <v>SVB1554</v>
      </c>
      <c r="N190" s="9">
        <f t="shared" si="2"/>
        <v>7</v>
      </c>
      <c r="O190" s="9" t="str">
        <f t="shared" si="3"/>
        <v>K/1SVB1554</v>
      </c>
    </row>
    <row r="191" spans="1:15" ht="17.5" x14ac:dyDescent="0.55000000000000004">
      <c r="A191" s="13" t="s">
        <v>238</v>
      </c>
      <c r="B191" s="11" t="s">
        <v>47</v>
      </c>
      <c r="C191" s="11" t="s">
        <v>25</v>
      </c>
      <c r="D191" s="10" t="s">
        <v>323</v>
      </c>
      <c r="E191" s="11" t="s">
        <v>16</v>
      </c>
      <c r="F191" s="11" t="s">
        <v>324</v>
      </c>
      <c r="G191" s="11" t="s">
        <v>17</v>
      </c>
      <c r="H191" s="11">
        <v>0</v>
      </c>
      <c r="I191" s="11" t="s">
        <v>242</v>
      </c>
      <c r="J191" s="11">
        <v>2</v>
      </c>
      <c r="K191" s="7" t="str">
        <f t="shared" si="0"/>
        <v>B351</v>
      </c>
      <c r="L191" s="8"/>
      <c r="M191" s="9" t="str">
        <f t="shared" si="1"/>
        <v>SVB1535</v>
      </c>
      <c r="N191" s="9">
        <f t="shared" si="2"/>
        <v>7</v>
      </c>
      <c r="O191" s="9" t="str">
        <f t="shared" si="3"/>
        <v>K/1SVB1535</v>
      </c>
    </row>
    <row r="192" spans="1:15" ht="17.5" x14ac:dyDescent="0.55000000000000004">
      <c r="A192" s="12" t="s">
        <v>238</v>
      </c>
      <c r="B192" s="6" t="s">
        <v>47</v>
      </c>
      <c r="C192" s="6" t="s">
        <v>283</v>
      </c>
      <c r="D192" s="5" t="s">
        <v>317</v>
      </c>
      <c r="E192" s="6" t="s">
        <v>50</v>
      </c>
      <c r="F192" s="6" t="s">
        <v>318</v>
      </c>
      <c r="G192" s="6" t="s">
        <v>17</v>
      </c>
      <c r="H192" s="6">
        <v>0</v>
      </c>
      <c r="I192" s="6" t="s">
        <v>242</v>
      </c>
      <c r="J192" s="6">
        <v>2</v>
      </c>
      <c r="K192" s="7" t="str">
        <f t="shared" si="0"/>
        <v>B351</v>
      </c>
      <c r="L192" s="8"/>
      <c r="M192" s="9" t="str">
        <f t="shared" si="1"/>
        <v>SVB1541</v>
      </c>
      <c r="N192" s="9">
        <f t="shared" si="2"/>
        <v>7</v>
      </c>
      <c r="O192" s="9" t="str">
        <f t="shared" si="3"/>
        <v>P/1SVB1541</v>
      </c>
    </row>
    <row r="193" spans="1:15" ht="17.5" x14ac:dyDescent="0.55000000000000004">
      <c r="A193" s="13" t="s">
        <v>238</v>
      </c>
      <c r="B193" s="11" t="s">
        <v>47</v>
      </c>
      <c r="C193" s="11" t="s">
        <v>283</v>
      </c>
      <c r="D193" s="10" t="s">
        <v>313</v>
      </c>
      <c r="E193" s="11" t="s">
        <v>50</v>
      </c>
      <c r="F193" s="11" t="s">
        <v>314</v>
      </c>
      <c r="G193" s="11" t="s">
        <v>17</v>
      </c>
      <c r="H193" s="11">
        <v>0</v>
      </c>
      <c r="I193" s="11" t="s">
        <v>242</v>
      </c>
      <c r="J193" s="11">
        <v>2</v>
      </c>
      <c r="K193" s="7" t="str">
        <f t="shared" si="0"/>
        <v>B351</v>
      </c>
      <c r="L193" s="8"/>
      <c r="M193" s="9" t="str">
        <f t="shared" si="1"/>
        <v>SVB1566</v>
      </c>
      <c r="N193" s="9">
        <f t="shared" si="2"/>
        <v>7</v>
      </c>
      <c r="O193" s="9" t="str">
        <f t="shared" si="3"/>
        <v>P/1SVB1566</v>
      </c>
    </row>
    <row r="194" spans="1:15" ht="17.5" x14ac:dyDescent="0.55000000000000004">
      <c r="A194" s="12" t="s">
        <v>238</v>
      </c>
      <c r="B194" s="6" t="s">
        <v>47</v>
      </c>
      <c r="C194" s="6" t="s">
        <v>325</v>
      </c>
      <c r="D194" s="5" t="s">
        <v>319</v>
      </c>
      <c r="E194" s="6" t="s">
        <v>50</v>
      </c>
      <c r="F194" s="6" t="s">
        <v>320</v>
      </c>
      <c r="G194" s="6" t="s">
        <v>17</v>
      </c>
      <c r="H194" s="6">
        <v>0</v>
      </c>
      <c r="I194" s="6" t="s">
        <v>242</v>
      </c>
      <c r="J194" s="6">
        <v>1</v>
      </c>
      <c r="K194" s="7" t="str">
        <f t="shared" si="0"/>
        <v>B351</v>
      </c>
      <c r="L194" s="8"/>
      <c r="M194" s="9" t="str">
        <f t="shared" si="1"/>
        <v>SVB1521</v>
      </c>
      <c r="N194" s="9">
        <f t="shared" si="2"/>
        <v>7</v>
      </c>
      <c r="O194" s="9" t="str">
        <f t="shared" si="3"/>
        <v>P/1SVB1521</v>
      </c>
    </row>
    <row r="195" spans="1:15" ht="17.5" x14ac:dyDescent="0.55000000000000004">
      <c r="A195" s="13" t="s">
        <v>238</v>
      </c>
      <c r="B195" s="11" t="s">
        <v>47</v>
      </c>
      <c r="C195" s="11" t="s">
        <v>36</v>
      </c>
      <c r="D195" s="10" t="s">
        <v>321</v>
      </c>
      <c r="E195" s="11" t="s">
        <v>50</v>
      </c>
      <c r="F195" s="11" t="s">
        <v>322</v>
      </c>
      <c r="G195" s="11" t="s">
        <v>17</v>
      </c>
      <c r="H195" s="11">
        <v>0</v>
      </c>
      <c r="I195" s="11" t="s">
        <v>242</v>
      </c>
      <c r="J195" s="11">
        <v>2</v>
      </c>
      <c r="K195" s="7" t="str">
        <f t="shared" si="0"/>
        <v>B351</v>
      </c>
      <c r="L195" s="8"/>
      <c r="M195" s="9" t="str">
        <f t="shared" si="1"/>
        <v>SVB1554</v>
      </c>
      <c r="N195" s="9">
        <f t="shared" si="2"/>
        <v>7</v>
      </c>
      <c r="O195" s="9" t="str">
        <f t="shared" si="3"/>
        <v>P/1SVB1554</v>
      </c>
    </row>
    <row r="196" spans="1:15" ht="17.5" x14ac:dyDescent="0.55000000000000004">
      <c r="A196" s="12" t="s">
        <v>238</v>
      </c>
      <c r="B196" s="6" t="s">
        <v>47</v>
      </c>
      <c r="C196" s="6" t="s">
        <v>36</v>
      </c>
      <c r="D196" s="5" t="s">
        <v>311</v>
      </c>
      <c r="E196" s="6" t="s">
        <v>50</v>
      </c>
      <c r="F196" s="6" t="s">
        <v>312</v>
      </c>
      <c r="G196" s="6" t="s">
        <v>17</v>
      </c>
      <c r="H196" s="6">
        <v>0</v>
      </c>
      <c r="I196" s="6" t="s">
        <v>242</v>
      </c>
      <c r="J196" s="6">
        <v>2</v>
      </c>
      <c r="K196" s="7" t="str">
        <f t="shared" si="0"/>
        <v>B351</v>
      </c>
      <c r="L196" s="8"/>
      <c r="M196" s="9" t="str">
        <f t="shared" si="1"/>
        <v>SVB156C</v>
      </c>
      <c r="N196" s="9">
        <f t="shared" si="2"/>
        <v>7</v>
      </c>
      <c r="O196" s="9" t="str">
        <f t="shared" si="3"/>
        <v>P/1SVB156C</v>
      </c>
    </row>
    <row r="197" spans="1:15" ht="17.5" x14ac:dyDescent="0.55000000000000004">
      <c r="A197" s="13" t="s">
        <v>238</v>
      </c>
      <c r="B197" s="11" t="s">
        <v>47</v>
      </c>
      <c r="C197" s="11" t="s">
        <v>290</v>
      </c>
      <c r="D197" s="10" t="s">
        <v>315</v>
      </c>
      <c r="E197" s="11" t="s">
        <v>50</v>
      </c>
      <c r="F197" s="11" t="s">
        <v>316</v>
      </c>
      <c r="G197" s="11" t="s">
        <v>17</v>
      </c>
      <c r="H197" s="11">
        <v>0</v>
      </c>
      <c r="I197" s="11" t="s">
        <v>242</v>
      </c>
      <c r="J197" s="11">
        <v>2</v>
      </c>
      <c r="K197" s="7" t="str">
        <f t="shared" si="0"/>
        <v>B351</v>
      </c>
      <c r="L197" s="8"/>
      <c r="M197" s="9" t="str">
        <f t="shared" si="1"/>
        <v>SVB1563</v>
      </c>
      <c r="N197" s="9">
        <f t="shared" si="2"/>
        <v>7</v>
      </c>
      <c r="O197" s="9" t="str">
        <f t="shared" si="3"/>
        <v>P/1SVB1563</v>
      </c>
    </row>
    <row r="198" spans="1:15" ht="17.5" x14ac:dyDescent="0.55000000000000004">
      <c r="A198" s="12" t="s">
        <v>238</v>
      </c>
      <c r="B198" s="6" t="s">
        <v>47</v>
      </c>
      <c r="C198" s="6" t="s">
        <v>38</v>
      </c>
      <c r="D198" s="5" t="s">
        <v>326</v>
      </c>
      <c r="E198" s="6" t="s">
        <v>16</v>
      </c>
      <c r="F198" s="6" t="s">
        <v>327</v>
      </c>
      <c r="G198" s="6" t="s">
        <v>17</v>
      </c>
      <c r="H198" s="6">
        <v>0</v>
      </c>
      <c r="I198" s="6" t="s">
        <v>242</v>
      </c>
      <c r="J198" s="6">
        <v>2</v>
      </c>
      <c r="K198" s="7" t="str">
        <f t="shared" si="0"/>
        <v>B351</v>
      </c>
      <c r="L198" s="8"/>
      <c r="M198" s="9" t="str">
        <f t="shared" si="1"/>
        <v>SVB1534</v>
      </c>
      <c r="N198" s="9">
        <f t="shared" si="2"/>
        <v>7</v>
      </c>
      <c r="O198" s="9" t="str">
        <f t="shared" si="3"/>
        <v>K/1SVB1534</v>
      </c>
    </row>
    <row r="199" spans="1:15" ht="17.5" x14ac:dyDescent="0.55000000000000004">
      <c r="A199" s="13" t="s">
        <v>238</v>
      </c>
      <c r="B199" s="11" t="s">
        <v>52</v>
      </c>
      <c r="C199" s="11" t="s">
        <v>261</v>
      </c>
      <c r="D199" s="10" t="s">
        <v>328</v>
      </c>
      <c r="E199" s="11" t="s">
        <v>16</v>
      </c>
      <c r="F199" s="11" t="s">
        <v>329</v>
      </c>
      <c r="G199" s="11" t="s">
        <v>17</v>
      </c>
      <c r="H199" s="11">
        <v>0</v>
      </c>
      <c r="I199" s="11" t="s">
        <v>242</v>
      </c>
      <c r="J199" s="11">
        <v>2</v>
      </c>
      <c r="K199" s="7" t="str">
        <f t="shared" si="0"/>
        <v>B351</v>
      </c>
      <c r="L199" s="8"/>
      <c r="M199" s="9" t="str">
        <f t="shared" si="1"/>
        <v>SVB154G</v>
      </c>
      <c r="N199" s="9">
        <f t="shared" si="2"/>
        <v>7</v>
      </c>
      <c r="O199" s="9" t="str">
        <f t="shared" si="3"/>
        <v>K/1SVB154G</v>
      </c>
    </row>
    <row r="200" spans="1:15" ht="17.5" x14ac:dyDescent="0.55000000000000004">
      <c r="A200" s="12" t="s">
        <v>238</v>
      </c>
      <c r="B200" s="6" t="s">
        <v>52</v>
      </c>
      <c r="C200" s="6" t="s">
        <v>14</v>
      </c>
      <c r="D200" s="5" t="s">
        <v>330</v>
      </c>
      <c r="E200" s="6" t="s">
        <v>16</v>
      </c>
      <c r="F200" s="6" t="s">
        <v>331</v>
      </c>
      <c r="G200" s="6" t="s">
        <v>17</v>
      </c>
      <c r="H200" s="6">
        <v>0</v>
      </c>
      <c r="I200" s="6" t="s">
        <v>242</v>
      </c>
      <c r="J200" s="6">
        <v>2</v>
      </c>
      <c r="K200" s="7" t="str">
        <f t="shared" si="0"/>
        <v>B351</v>
      </c>
      <c r="L200" s="8"/>
      <c r="M200" s="9" t="str">
        <f t="shared" si="1"/>
        <v>SVB1503</v>
      </c>
      <c r="N200" s="9">
        <f t="shared" si="2"/>
        <v>7</v>
      </c>
      <c r="O200" s="9" t="str">
        <f t="shared" si="3"/>
        <v>K/1SVB1503</v>
      </c>
    </row>
    <row r="201" spans="1:15" ht="17.5" x14ac:dyDescent="0.55000000000000004">
      <c r="A201" s="13" t="s">
        <v>238</v>
      </c>
      <c r="B201" s="11" t="s">
        <v>52</v>
      </c>
      <c r="C201" s="11" t="s">
        <v>14</v>
      </c>
      <c r="D201" s="10" t="s">
        <v>332</v>
      </c>
      <c r="E201" s="11" t="s">
        <v>16</v>
      </c>
      <c r="F201" s="11" t="s">
        <v>333</v>
      </c>
      <c r="G201" s="11" t="s">
        <v>17</v>
      </c>
      <c r="H201" s="11">
        <v>0</v>
      </c>
      <c r="I201" s="11" t="s">
        <v>242</v>
      </c>
      <c r="J201" s="11">
        <v>2</v>
      </c>
      <c r="K201" s="7" t="str">
        <f t="shared" si="0"/>
        <v>B351</v>
      </c>
      <c r="L201" s="8"/>
      <c r="M201" s="9" t="str">
        <f t="shared" si="1"/>
        <v>SVB1628</v>
      </c>
      <c r="N201" s="9">
        <f t="shared" si="2"/>
        <v>7</v>
      </c>
      <c r="O201" s="9" t="str">
        <f t="shared" si="3"/>
        <v>K/1SVB1628</v>
      </c>
    </row>
    <row r="202" spans="1:15" ht="17.5" x14ac:dyDescent="0.55000000000000004">
      <c r="A202" s="12" t="s">
        <v>238</v>
      </c>
      <c r="B202" s="6" t="s">
        <v>52</v>
      </c>
      <c r="C202" s="6" t="s">
        <v>191</v>
      </c>
      <c r="D202" s="5" t="s">
        <v>334</v>
      </c>
      <c r="E202" s="6" t="s">
        <v>16</v>
      </c>
      <c r="F202" s="6" t="s">
        <v>335</v>
      </c>
      <c r="G202" s="6" t="s">
        <v>17</v>
      </c>
      <c r="H202" s="6">
        <v>0</v>
      </c>
      <c r="I202" s="6" t="s">
        <v>242</v>
      </c>
      <c r="J202" s="6">
        <v>2</v>
      </c>
      <c r="K202" s="7" t="str">
        <f t="shared" si="0"/>
        <v>B351</v>
      </c>
      <c r="L202" s="8"/>
      <c r="M202" s="9" t="str">
        <f t="shared" si="1"/>
        <v>SVB151A</v>
      </c>
      <c r="N202" s="9">
        <f t="shared" si="2"/>
        <v>7</v>
      </c>
      <c r="O202" s="9" t="str">
        <f t="shared" si="3"/>
        <v>K/1SVB151A</v>
      </c>
    </row>
    <row r="203" spans="1:15" ht="17.5" x14ac:dyDescent="0.55000000000000004">
      <c r="A203" s="13" t="s">
        <v>238</v>
      </c>
      <c r="B203" s="11" t="s">
        <v>52</v>
      </c>
      <c r="C203" s="11" t="s">
        <v>23</v>
      </c>
      <c r="D203" s="10" t="s">
        <v>328</v>
      </c>
      <c r="E203" s="11" t="s">
        <v>50</v>
      </c>
      <c r="F203" s="11" t="s">
        <v>329</v>
      </c>
      <c r="G203" s="11" t="s">
        <v>17</v>
      </c>
      <c r="H203" s="11">
        <v>0</v>
      </c>
      <c r="I203" s="11" t="s">
        <v>242</v>
      </c>
      <c r="J203" s="11">
        <v>2</v>
      </c>
      <c r="K203" s="7" t="str">
        <f t="shared" si="0"/>
        <v>B351</v>
      </c>
      <c r="L203" s="8"/>
      <c r="M203" s="9" t="str">
        <f t="shared" si="1"/>
        <v>SVB154G</v>
      </c>
      <c r="N203" s="9">
        <f t="shared" si="2"/>
        <v>7</v>
      </c>
      <c r="O203" s="9" t="str">
        <f t="shared" si="3"/>
        <v>P/1SVB154G</v>
      </c>
    </row>
    <row r="204" spans="1:15" ht="17.5" x14ac:dyDescent="0.55000000000000004">
      <c r="A204" s="12" t="s">
        <v>238</v>
      </c>
      <c r="B204" s="6" t="s">
        <v>52</v>
      </c>
      <c r="C204" s="6" t="s">
        <v>23</v>
      </c>
      <c r="D204" s="5" t="s">
        <v>336</v>
      </c>
      <c r="E204" s="6" t="s">
        <v>16</v>
      </c>
      <c r="F204" s="6" t="s">
        <v>337</v>
      </c>
      <c r="G204" s="6" t="s">
        <v>17</v>
      </c>
      <c r="H204" s="6">
        <v>0</v>
      </c>
      <c r="I204" s="6" t="s">
        <v>242</v>
      </c>
      <c r="J204" s="6">
        <v>2</v>
      </c>
      <c r="K204" s="7" t="str">
        <f t="shared" si="0"/>
        <v>B351</v>
      </c>
      <c r="L204" s="8"/>
      <c r="M204" s="9" t="str">
        <f t="shared" si="1"/>
        <v>SVB1568</v>
      </c>
      <c r="N204" s="9">
        <f t="shared" si="2"/>
        <v>7</v>
      </c>
      <c r="O204" s="9" t="str">
        <f t="shared" si="3"/>
        <v>K/1SVB1568</v>
      </c>
    </row>
    <row r="205" spans="1:15" ht="17.5" x14ac:dyDescent="0.55000000000000004">
      <c r="A205" s="13" t="s">
        <v>238</v>
      </c>
      <c r="B205" s="11" t="s">
        <v>52</v>
      </c>
      <c r="C205" s="11" t="s">
        <v>338</v>
      </c>
      <c r="D205" s="10" t="s">
        <v>339</v>
      </c>
      <c r="E205" s="11" t="s">
        <v>16</v>
      </c>
      <c r="F205" s="11" t="s">
        <v>340</v>
      </c>
      <c r="G205" s="11" t="s">
        <v>17</v>
      </c>
      <c r="H205" s="11">
        <v>0</v>
      </c>
      <c r="I205" s="11" t="s">
        <v>242</v>
      </c>
      <c r="J205" s="11">
        <v>2</v>
      </c>
      <c r="K205" s="7" t="str">
        <f t="shared" si="0"/>
        <v>B351</v>
      </c>
      <c r="L205" s="8"/>
      <c r="M205" s="9" t="str">
        <f t="shared" si="1"/>
        <v>SVB1502</v>
      </c>
      <c r="N205" s="9">
        <f t="shared" si="2"/>
        <v>7</v>
      </c>
      <c r="O205" s="9" t="str">
        <f t="shared" si="3"/>
        <v>K/1SVB1502</v>
      </c>
    </row>
    <row r="206" spans="1:15" ht="17.5" x14ac:dyDescent="0.55000000000000004">
      <c r="A206" s="12" t="s">
        <v>238</v>
      </c>
      <c r="B206" s="6" t="s">
        <v>52</v>
      </c>
      <c r="C206" s="6" t="s">
        <v>221</v>
      </c>
      <c r="D206" s="5" t="s">
        <v>341</v>
      </c>
      <c r="E206" s="6" t="s">
        <v>16</v>
      </c>
      <c r="F206" s="6" t="s">
        <v>248</v>
      </c>
      <c r="G206" s="6" t="s">
        <v>17</v>
      </c>
      <c r="H206" s="6">
        <v>0</v>
      </c>
      <c r="I206" s="6" t="s">
        <v>242</v>
      </c>
      <c r="J206" s="6">
        <v>2</v>
      </c>
      <c r="K206" s="7" t="str">
        <f t="shared" si="0"/>
        <v>B351</v>
      </c>
      <c r="L206" s="8"/>
      <c r="M206" s="9" t="str">
        <f t="shared" si="1"/>
        <v>SVB154E</v>
      </c>
      <c r="N206" s="9">
        <f t="shared" si="2"/>
        <v>7</v>
      </c>
      <c r="O206" s="9" t="str">
        <f t="shared" si="3"/>
        <v>K/1SVB154E</v>
      </c>
    </row>
    <row r="207" spans="1:15" ht="17.5" x14ac:dyDescent="0.55000000000000004">
      <c r="A207" s="13" t="s">
        <v>238</v>
      </c>
      <c r="B207" s="11" t="s">
        <v>52</v>
      </c>
      <c r="C207" s="11" t="s">
        <v>36</v>
      </c>
      <c r="D207" s="10" t="s">
        <v>336</v>
      </c>
      <c r="E207" s="11" t="s">
        <v>50</v>
      </c>
      <c r="F207" s="11" t="s">
        <v>337</v>
      </c>
      <c r="G207" s="11" t="s">
        <v>17</v>
      </c>
      <c r="H207" s="11">
        <v>0</v>
      </c>
      <c r="I207" s="11" t="s">
        <v>242</v>
      </c>
      <c r="J207" s="11">
        <v>2</v>
      </c>
      <c r="K207" s="7" t="str">
        <f t="shared" si="0"/>
        <v>B351</v>
      </c>
      <c r="L207" s="8"/>
      <c r="M207" s="9" t="str">
        <f t="shared" si="1"/>
        <v>SVB1568</v>
      </c>
      <c r="N207" s="9">
        <f t="shared" si="2"/>
        <v>7</v>
      </c>
      <c r="O207" s="9" t="str">
        <f t="shared" si="3"/>
        <v>P/1SVB1568</v>
      </c>
    </row>
    <row r="208" spans="1:15" ht="17.5" x14ac:dyDescent="0.55000000000000004">
      <c r="A208" s="12" t="s">
        <v>238</v>
      </c>
      <c r="B208" s="6" t="s">
        <v>52</v>
      </c>
      <c r="C208" s="6" t="s">
        <v>342</v>
      </c>
      <c r="D208" s="5" t="s">
        <v>343</v>
      </c>
      <c r="E208" s="6" t="s">
        <v>16</v>
      </c>
      <c r="F208" s="6" t="s">
        <v>344</v>
      </c>
      <c r="G208" s="6" t="s">
        <v>17</v>
      </c>
      <c r="H208" s="6">
        <v>0</v>
      </c>
      <c r="I208" s="6" t="s">
        <v>242</v>
      </c>
      <c r="J208" s="6">
        <v>2</v>
      </c>
      <c r="K208" s="7" t="str">
        <f t="shared" si="0"/>
        <v>B351</v>
      </c>
      <c r="L208" s="8"/>
      <c r="M208" s="9" t="str">
        <f t="shared" si="1"/>
        <v>SVB1501</v>
      </c>
      <c r="N208" s="9">
        <f t="shared" si="2"/>
        <v>7</v>
      </c>
      <c r="O208" s="9" t="str">
        <f t="shared" si="3"/>
        <v>K/1SVB1501</v>
      </c>
    </row>
    <row r="209" spans="1:15" ht="17.5" x14ac:dyDescent="0.55000000000000004">
      <c r="A209" s="13" t="s">
        <v>238</v>
      </c>
      <c r="B209" s="11" t="s">
        <v>52</v>
      </c>
      <c r="C209" s="11" t="s">
        <v>290</v>
      </c>
      <c r="D209" s="10" t="s">
        <v>332</v>
      </c>
      <c r="E209" s="11" t="s">
        <v>50</v>
      </c>
      <c r="F209" s="11" t="s">
        <v>333</v>
      </c>
      <c r="G209" s="11" t="s">
        <v>17</v>
      </c>
      <c r="H209" s="11">
        <v>0</v>
      </c>
      <c r="I209" s="11" t="s">
        <v>242</v>
      </c>
      <c r="J209" s="11">
        <v>2</v>
      </c>
      <c r="K209" s="7" t="str">
        <f t="shared" si="0"/>
        <v>B351</v>
      </c>
      <c r="L209" s="8"/>
      <c r="M209" s="9" t="str">
        <f t="shared" si="1"/>
        <v>SVB1628</v>
      </c>
      <c r="N209" s="9">
        <f t="shared" si="2"/>
        <v>7</v>
      </c>
      <c r="O209" s="9" t="str">
        <f t="shared" si="3"/>
        <v>P/1SVB1628</v>
      </c>
    </row>
    <row r="210" spans="1:15" ht="17.5" x14ac:dyDescent="0.55000000000000004">
      <c r="A210" s="12" t="s">
        <v>238</v>
      </c>
      <c r="B210" s="6" t="s">
        <v>52</v>
      </c>
      <c r="C210" s="6" t="s">
        <v>28</v>
      </c>
      <c r="D210" s="5" t="s">
        <v>341</v>
      </c>
      <c r="E210" s="6" t="s">
        <v>50</v>
      </c>
      <c r="F210" s="6" t="s">
        <v>248</v>
      </c>
      <c r="G210" s="6" t="s">
        <v>17</v>
      </c>
      <c r="H210" s="6">
        <v>0</v>
      </c>
      <c r="I210" s="6" t="s">
        <v>242</v>
      </c>
      <c r="J210" s="6">
        <v>2</v>
      </c>
      <c r="K210" s="7" t="str">
        <f t="shared" si="0"/>
        <v>B351</v>
      </c>
      <c r="L210" s="8"/>
      <c r="M210" s="9" t="str">
        <f t="shared" si="1"/>
        <v>SVB154E</v>
      </c>
      <c r="N210" s="9">
        <f t="shared" si="2"/>
        <v>7</v>
      </c>
      <c r="O210" s="9" t="str">
        <f t="shared" si="3"/>
        <v>P/1SVB154E</v>
      </c>
    </row>
    <row r="211" spans="1:15" ht="17.5" x14ac:dyDescent="0.55000000000000004">
      <c r="A211" s="13" t="s">
        <v>238</v>
      </c>
      <c r="B211" s="11" t="s">
        <v>52</v>
      </c>
      <c r="C211" s="11" t="s">
        <v>308</v>
      </c>
      <c r="D211" s="10" t="s">
        <v>343</v>
      </c>
      <c r="E211" s="11" t="s">
        <v>50</v>
      </c>
      <c r="F211" s="11" t="s">
        <v>344</v>
      </c>
      <c r="G211" s="11" t="s">
        <v>17</v>
      </c>
      <c r="H211" s="11">
        <v>0</v>
      </c>
      <c r="I211" s="11" t="s">
        <v>242</v>
      </c>
      <c r="J211" s="11">
        <v>2</v>
      </c>
      <c r="K211" s="7" t="str">
        <f t="shared" si="0"/>
        <v>B351</v>
      </c>
      <c r="L211" s="8"/>
      <c r="M211" s="9" t="str">
        <f t="shared" si="1"/>
        <v>SVB1501</v>
      </c>
      <c r="N211" s="9">
        <f t="shared" si="2"/>
        <v>7</v>
      </c>
      <c r="O211" s="9" t="str">
        <f t="shared" si="3"/>
        <v>P/1SVB1501</v>
      </c>
    </row>
    <row r="212" spans="1:15" ht="17.5" x14ac:dyDescent="0.55000000000000004">
      <c r="A212" s="12" t="s">
        <v>238</v>
      </c>
      <c r="B212" s="6" t="s">
        <v>195</v>
      </c>
      <c r="C212" s="6" t="s">
        <v>53</v>
      </c>
      <c r="D212" s="5" t="s">
        <v>345</v>
      </c>
      <c r="E212" s="6" t="s">
        <v>50</v>
      </c>
      <c r="F212" s="6" t="s">
        <v>346</v>
      </c>
      <c r="G212" s="6" t="s">
        <v>17</v>
      </c>
      <c r="H212" s="6">
        <v>0</v>
      </c>
      <c r="I212" s="6" t="s">
        <v>242</v>
      </c>
      <c r="J212" s="6">
        <v>2</v>
      </c>
      <c r="K212" s="7" t="str">
        <f t="shared" si="0"/>
        <v>B351</v>
      </c>
      <c r="L212" s="8"/>
      <c r="M212" s="9" t="str">
        <f t="shared" si="1"/>
        <v>SVB1546</v>
      </c>
      <c r="N212" s="9">
        <f t="shared" si="2"/>
        <v>7</v>
      </c>
      <c r="O212" s="9" t="str">
        <f t="shared" si="3"/>
        <v>P/1SVB1546</v>
      </c>
    </row>
    <row r="213" spans="1:15" ht="17.5" x14ac:dyDescent="0.55000000000000004">
      <c r="A213" s="13" t="s">
        <v>347</v>
      </c>
      <c r="B213" s="11" t="s">
        <v>13</v>
      </c>
      <c r="C213" s="11" t="s">
        <v>14</v>
      </c>
      <c r="D213" s="10" t="s">
        <v>348</v>
      </c>
      <c r="E213" s="11" t="s">
        <v>155</v>
      </c>
      <c r="F213" s="11" t="s">
        <v>349</v>
      </c>
      <c r="G213" s="11" t="s">
        <v>17</v>
      </c>
      <c r="H213" s="11">
        <v>0</v>
      </c>
      <c r="I213" s="11" t="s">
        <v>350</v>
      </c>
      <c r="J213" s="11">
        <v>2</v>
      </c>
      <c r="K213" s="7" t="str">
        <f t="shared" si="0"/>
        <v>C151</v>
      </c>
      <c r="L213" s="8"/>
      <c r="M213" s="9" t="str">
        <f t="shared" si="1"/>
        <v>AKU1651</v>
      </c>
      <c r="N213" s="9">
        <f t="shared" si="2"/>
        <v>7</v>
      </c>
      <c r="O213" s="9" t="str">
        <f t="shared" si="3"/>
        <v>K/2AKU1651</v>
      </c>
    </row>
    <row r="214" spans="1:15" ht="17.5" x14ac:dyDescent="0.55000000000000004">
      <c r="A214" s="12" t="s">
        <v>347</v>
      </c>
      <c r="B214" s="6" t="s">
        <v>13</v>
      </c>
      <c r="C214" s="6" t="s">
        <v>25</v>
      </c>
      <c r="D214" s="5" t="s">
        <v>351</v>
      </c>
      <c r="E214" s="6" t="s">
        <v>16</v>
      </c>
      <c r="F214" s="6" t="s">
        <v>352</v>
      </c>
      <c r="G214" s="6" t="s">
        <v>17</v>
      </c>
      <c r="H214" s="6">
        <v>0</v>
      </c>
      <c r="I214" s="6" t="s">
        <v>350</v>
      </c>
      <c r="J214" s="6">
        <v>2</v>
      </c>
      <c r="K214" s="7" t="str">
        <f t="shared" si="0"/>
        <v>C151</v>
      </c>
      <c r="L214" s="8"/>
      <c r="M214" s="9" t="str">
        <f t="shared" si="1"/>
        <v>AKU1621</v>
      </c>
      <c r="N214" s="9">
        <f t="shared" si="2"/>
        <v>7</v>
      </c>
      <c r="O214" s="9" t="str">
        <f t="shared" si="3"/>
        <v>K/1AKU1621</v>
      </c>
    </row>
    <row r="215" spans="1:15" ht="17.5" x14ac:dyDescent="0.55000000000000004">
      <c r="A215" s="13" t="s">
        <v>347</v>
      </c>
      <c r="B215" s="11" t="s">
        <v>13</v>
      </c>
      <c r="C215" s="11" t="s">
        <v>64</v>
      </c>
      <c r="D215" s="10" t="s">
        <v>353</v>
      </c>
      <c r="E215" s="11" t="s">
        <v>16</v>
      </c>
      <c r="F215" s="11" t="s">
        <v>354</v>
      </c>
      <c r="G215" s="11" t="s">
        <v>355</v>
      </c>
      <c r="H215" s="11">
        <v>20</v>
      </c>
      <c r="I215" s="11" t="s">
        <v>350</v>
      </c>
      <c r="J215" s="11">
        <v>2</v>
      </c>
      <c r="K215" s="7" t="str">
        <f t="shared" si="0"/>
        <v>C151</v>
      </c>
      <c r="L215" s="8"/>
      <c r="M215" s="9" t="str">
        <f t="shared" si="1"/>
        <v>AKU1641</v>
      </c>
      <c r="N215" s="9">
        <f t="shared" si="2"/>
        <v>7</v>
      </c>
      <c r="O215" s="9" t="str">
        <f t="shared" si="3"/>
        <v>K/1AKU1641</v>
      </c>
    </row>
    <row r="216" spans="1:15" ht="17.5" x14ac:dyDescent="0.55000000000000004">
      <c r="A216" s="12" t="s">
        <v>347</v>
      </c>
      <c r="B216" s="6" t="s">
        <v>13</v>
      </c>
      <c r="C216" s="6" t="s">
        <v>101</v>
      </c>
      <c r="D216" s="5" t="s">
        <v>356</v>
      </c>
      <c r="E216" s="6" t="s">
        <v>16</v>
      </c>
      <c r="F216" s="6" t="s">
        <v>352</v>
      </c>
      <c r="G216" s="6" t="s">
        <v>17</v>
      </c>
      <c r="H216" s="6">
        <v>0</v>
      </c>
      <c r="I216" s="6" t="s">
        <v>350</v>
      </c>
      <c r="J216" s="6">
        <v>2</v>
      </c>
      <c r="K216" s="7" t="str">
        <f t="shared" si="0"/>
        <v>C151</v>
      </c>
      <c r="L216" s="8"/>
      <c r="M216" s="9" t="str">
        <f t="shared" si="1"/>
        <v>AKU1623</v>
      </c>
      <c r="N216" s="9">
        <f t="shared" si="2"/>
        <v>7</v>
      </c>
      <c r="O216" s="9" t="str">
        <f t="shared" si="3"/>
        <v>K/1AKU1623</v>
      </c>
    </row>
    <row r="217" spans="1:15" ht="17.5" x14ac:dyDescent="0.55000000000000004">
      <c r="A217" s="13" t="s">
        <v>347</v>
      </c>
      <c r="B217" s="11" t="s">
        <v>31</v>
      </c>
      <c r="C217" s="11" t="s">
        <v>14</v>
      </c>
      <c r="D217" s="10" t="s">
        <v>357</v>
      </c>
      <c r="E217" s="11" t="s">
        <v>16</v>
      </c>
      <c r="F217" s="11" t="s">
        <v>358</v>
      </c>
      <c r="G217" s="11" t="s">
        <v>17</v>
      </c>
      <c r="H217" s="11">
        <v>0</v>
      </c>
      <c r="I217" s="11" t="s">
        <v>350</v>
      </c>
      <c r="J217" s="11">
        <v>2</v>
      </c>
      <c r="K217" s="7" t="str">
        <f t="shared" si="0"/>
        <v>C151</v>
      </c>
      <c r="L217" s="8"/>
      <c r="M217" s="9" t="str">
        <f t="shared" si="1"/>
        <v>AKU1522</v>
      </c>
      <c r="N217" s="9">
        <f t="shared" si="2"/>
        <v>7</v>
      </c>
      <c r="O217" s="9" t="str">
        <f t="shared" si="3"/>
        <v>K/1AKU1522</v>
      </c>
    </row>
    <row r="218" spans="1:15" ht="17.5" x14ac:dyDescent="0.55000000000000004">
      <c r="A218" s="12" t="s">
        <v>347</v>
      </c>
      <c r="B218" s="6" t="s">
        <v>31</v>
      </c>
      <c r="C218" s="6" t="s">
        <v>271</v>
      </c>
      <c r="D218" s="5" t="s">
        <v>359</v>
      </c>
      <c r="E218" s="6" t="s">
        <v>16</v>
      </c>
      <c r="F218" s="6" t="s">
        <v>360</v>
      </c>
      <c r="G218" s="6" t="s">
        <v>361</v>
      </c>
      <c r="H218" s="6">
        <v>50</v>
      </c>
      <c r="I218" s="6" t="s">
        <v>350</v>
      </c>
      <c r="J218" s="6">
        <v>2</v>
      </c>
      <c r="K218" s="7" t="str">
        <f t="shared" si="0"/>
        <v>C151</v>
      </c>
      <c r="L218" s="8"/>
      <c r="M218" s="9" t="str">
        <f t="shared" si="1"/>
        <v>AKU1691</v>
      </c>
      <c r="N218" s="9">
        <f t="shared" si="2"/>
        <v>7</v>
      </c>
      <c r="O218" s="9" t="str">
        <f t="shared" si="3"/>
        <v>K/1AKU1691</v>
      </c>
    </row>
    <row r="219" spans="1:15" ht="17.5" x14ac:dyDescent="0.55000000000000004">
      <c r="A219" s="13" t="s">
        <v>347</v>
      </c>
      <c r="B219" s="11" t="s">
        <v>31</v>
      </c>
      <c r="C219" s="11" t="s">
        <v>25</v>
      </c>
      <c r="D219" s="10" t="s">
        <v>362</v>
      </c>
      <c r="E219" s="11" t="s">
        <v>16</v>
      </c>
      <c r="F219" s="11" t="s">
        <v>363</v>
      </c>
      <c r="G219" s="11" t="s">
        <v>355</v>
      </c>
      <c r="H219" s="11">
        <v>20</v>
      </c>
      <c r="I219" s="11" t="s">
        <v>350</v>
      </c>
      <c r="J219" s="11">
        <v>2</v>
      </c>
      <c r="K219" s="7" t="str">
        <f t="shared" si="0"/>
        <v>C151</v>
      </c>
      <c r="L219" s="8"/>
      <c r="M219" s="9" t="str">
        <f t="shared" si="1"/>
        <v>AKU1642</v>
      </c>
      <c r="N219" s="9">
        <f t="shared" si="2"/>
        <v>7</v>
      </c>
      <c r="O219" s="9" t="str">
        <f t="shared" si="3"/>
        <v>K/1AKU1642</v>
      </c>
    </row>
    <row r="220" spans="1:15" ht="17.5" x14ac:dyDescent="0.55000000000000004">
      <c r="A220" s="12" t="s">
        <v>347</v>
      </c>
      <c r="B220" s="6" t="s">
        <v>31</v>
      </c>
      <c r="C220" s="6" t="s">
        <v>64</v>
      </c>
      <c r="D220" s="5" t="s">
        <v>364</v>
      </c>
      <c r="E220" s="6" t="s">
        <v>16</v>
      </c>
      <c r="F220" s="6" t="s">
        <v>365</v>
      </c>
      <c r="G220" s="6" t="s">
        <v>17</v>
      </c>
      <c r="H220" s="6">
        <v>0</v>
      </c>
      <c r="I220" s="6" t="s">
        <v>350</v>
      </c>
      <c r="J220" s="6">
        <v>2</v>
      </c>
      <c r="K220" s="7" t="str">
        <f t="shared" si="0"/>
        <v>C151</v>
      </c>
      <c r="L220" s="8"/>
      <c r="M220" s="9" t="str">
        <f t="shared" si="1"/>
        <v>AKU1501</v>
      </c>
      <c r="N220" s="9">
        <f t="shared" si="2"/>
        <v>7</v>
      </c>
      <c r="O220" s="9" t="str">
        <f t="shared" si="3"/>
        <v>K/1AKU1501</v>
      </c>
    </row>
    <row r="221" spans="1:15" ht="17.5" x14ac:dyDescent="0.55000000000000004">
      <c r="A221" s="13" t="s">
        <v>347</v>
      </c>
      <c r="B221" s="11" t="s">
        <v>31</v>
      </c>
      <c r="C221" s="11" t="s">
        <v>366</v>
      </c>
      <c r="D221" s="10" t="s">
        <v>364</v>
      </c>
      <c r="E221" s="11" t="s">
        <v>155</v>
      </c>
      <c r="F221" s="11" t="s">
        <v>365</v>
      </c>
      <c r="G221" s="11" t="s">
        <v>17</v>
      </c>
      <c r="H221" s="11">
        <v>0</v>
      </c>
      <c r="I221" s="11" t="s">
        <v>350</v>
      </c>
      <c r="J221" s="11">
        <v>2</v>
      </c>
      <c r="K221" s="7" t="str">
        <f t="shared" si="0"/>
        <v>C151</v>
      </c>
      <c r="L221" s="8"/>
      <c r="M221" s="9" t="str">
        <f t="shared" si="1"/>
        <v>AKU1501</v>
      </c>
      <c r="N221" s="9">
        <f t="shared" si="2"/>
        <v>7</v>
      </c>
      <c r="O221" s="9" t="str">
        <f t="shared" si="3"/>
        <v>K/2AKU1501</v>
      </c>
    </row>
    <row r="222" spans="1:15" ht="17.5" x14ac:dyDescent="0.55000000000000004">
      <c r="A222" s="12" t="s">
        <v>347</v>
      </c>
      <c r="B222" s="6" t="s">
        <v>31</v>
      </c>
      <c r="C222" s="6" t="s">
        <v>138</v>
      </c>
      <c r="D222" s="5" t="s">
        <v>364</v>
      </c>
      <c r="E222" s="6" t="s">
        <v>50</v>
      </c>
      <c r="F222" s="6" t="s">
        <v>365</v>
      </c>
      <c r="G222" s="6" t="s">
        <v>17</v>
      </c>
      <c r="H222" s="6">
        <v>0</v>
      </c>
      <c r="I222" s="6" t="s">
        <v>350</v>
      </c>
      <c r="J222" s="6">
        <v>2</v>
      </c>
      <c r="K222" s="7" t="str">
        <f t="shared" si="0"/>
        <v>C151</v>
      </c>
      <c r="L222" s="8"/>
      <c r="M222" s="9" t="str">
        <f t="shared" si="1"/>
        <v>AKU1501</v>
      </c>
      <c r="N222" s="9">
        <f t="shared" si="2"/>
        <v>7</v>
      </c>
      <c r="O222" s="9" t="str">
        <f t="shared" si="3"/>
        <v>P/1AKU1501</v>
      </c>
    </row>
    <row r="223" spans="1:15" ht="17.5" x14ac:dyDescent="0.55000000000000004">
      <c r="A223" s="13" t="s">
        <v>347</v>
      </c>
      <c r="B223" s="11" t="s">
        <v>31</v>
      </c>
      <c r="C223" s="11" t="s">
        <v>138</v>
      </c>
      <c r="D223" s="10" t="s">
        <v>364</v>
      </c>
      <c r="E223" s="11" t="s">
        <v>144</v>
      </c>
      <c r="F223" s="11" t="s">
        <v>365</v>
      </c>
      <c r="G223" s="11" t="s">
        <v>17</v>
      </c>
      <c r="H223" s="11">
        <v>0</v>
      </c>
      <c r="I223" s="11" t="s">
        <v>350</v>
      </c>
      <c r="J223" s="11">
        <v>2</v>
      </c>
      <c r="K223" s="7" t="str">
        <f t="shared" si="0"/>
        <v>C151</v>
      </c>
      <c r="L223" s="8"/>
      <c r="M223" s="9" t="str">
        <f t="shared" si="1"/>
        <v>AKU1501</v>
      </c>
      <c r="N223" s="9">
        <f t="shared" si="2"/>
        <v>7</v>
      </c>
      <c r="O223" s="9" t="str">
        <f t="shared" si="3"/>
        <v>P/2AKU1501</v>
      </c>
    </row>
    <row r="224" spans="1:15" ht="17.5" x14ac:dyDescent="0.55000000000000004">
      <c r="A224" s="12" t="s">
        <v>347</v>
      </c>
      <c r="B224" s="6" t="s">
        <v>41</v>
      </c>
      <c r="C224" s="6" t="s">
        <v>49</v>
      </c>
      <c r="D224" s="5" t="s">
        <v>356</v>
      </c>
      <c r="E224" s="6" t="s">
        <v>50</v>
      </c>
      <c r="F224" s="6" t="s">
        <v>352</v>
      </c>
      <c r="G224" s="6" t="s">
        <v>17</v>
      </c>
      <c r="H224" s="6">
        <v>0</v>
      </c>
      <c r="I224" s="6" t="s">
        <v>350</v>
      </c>
      <c r="J224" s="6">
        <v>2</v>
      </c>
      <c r="K224" s="7" t="str">
        <f t="shared" si="0"/>
        <v>C151</v>
      </c>
      <c r="L224" s="8"/>
      <c r="M224" s="9" t="str">
        <f t="shared" si="1"/>
        <v>AKU1623</v>
      </c>
      <c r="N224" s="9">
        <f t="shared" si="2"/>
        <v>7</v>
      </c>
      <c r="O224" s="9" t="str">
        <f t="shared" si="3"/>
        <v>P/1AKU1623</v>
      </c>
    </row>
    <row r="225" spans="1:15" ht="17.5" x14ac:dyDescent="0.55000000000000004">
      <c r="A225" s="13" t="s">
        <v>347</v>
      </c>
      <c r="B225" s="11" t="s">
        <v>41</v>
      </c>
      <c r="C225" s="11" t="s">
        <v>367</v>
      </c>
      <c r="D225" s="10" t="s">
        <v>368</v>
      </c>
      <c r="E225" s="11" t="s">
        <v>16</v>
      </c>
      <c r="F225" s="11" t="s">
        <v>358</v>
      </c>
      <c r="G225" s="11" t="s">
        <v>17</v>
      </c>
      <c r="H225" s="11">
        <v>0</v>
      </c>
      <c r="I225" s="11" t="s">
        <v>350</v>
      </c>
      <c r="J225" s="11">
        <v>2</v>
      </c>
      <c r="K225" s="7" t="str">
        <f t="shared" si="0"/>
        <v>C151</v>
      </c>
      <c r="L225" s="8"/>
      <c r="M225" s="9" t="str">
        <f t="shared" si="1"/>
        <v>AKU1622</v>
      </c>
      <c r="N225" s="9">
        <f t="shared" si="2"/>
        <v>7</v>
      </c>
      <c r="O225" s="9" t="str">
        <f t="shared" si="3"/>
        <v>K/1AKU1622</v>
      </c>
    </row>
    <row r="226" spans="1:15" ht="17.5" x14ac:dyDescent="0.55000000000000004">
      <c r="A226" s="12" t="s">
        <v>347</v>
      </c>
      <c r="B226" s="6" t="s">
        <v>47</v>
      </c>
      <c r="C226" s="6" t="s">
        <v>14</v>
      </c>
      <c r="D226" s="5" t="s">
        <v>369</v>
      </c>
      <c r="E226" s="6" t="s">
        <v>16</v>
      </c>
      <c r="F226" s="6" t="s">
        <v>370</v>
      </c>
      <c r="G226" s="6" t="s">
        <v>355</v>
      </c>
      <c r="H226" s="6">
        <v>20</v>
      </c>
      <c r="I226" s="6" t="s">
        <v>350</v>
      </c>
      <c r="J226" s="6">
        <v>2</v>
      </c>
      <c r="K226" s="7" t="str">
        <f t="shared" si="0"/>
        <v>C151</v>
      </c>
      <c r="L226" s="8"/>
      <c r="M226" s="9" t="str">
        <f t="shared" si="1"/>
        <v>AKU1611</v>
      </c>
      <c r="N226" s="9">
        <f t="shared" si="2"/>
        <v>7</v>
      </c>
      <c r="O226" s="9" t="str">
        <f t="shared" si="3"/>
        <v>K/1AKU1611</v>
      </c>
    </row>
    <row r="227" spans="1:15" ht="17.5" x14ac:dyDescent="0.55000000000000004">
      <c r="A227" s="13" t="s">
        <v>347</v>
      </c>
      <c r="B227" s="11" t="s">
        <v>47</v>
      </c>
      <c r="C227" s="11" t="s">
        <v>271</v>
      </c>
      <c r="D227" s="10" t="s">
        <v>359</v>
      </c>
      <c r="E227" s="11" t="s">
        <v>155</v>
      </c>
      <c r="F227" s="11" t="s">
        <v>360</v>
      </c>
      <c r="G227" s="11" t="s">
        <v>17</v>
      </c>
      <c r="H227" s="11">
        <v>0</v>
      </c>
      <c r="I227" s="11" t="s">
        <v>350</v>
      </c>
      <c r="J227" s="11">
        <v>2</v>
      </c>
      <c r="K227" s="7" t="str">
        <f t="shared" si="0"/>
        <v>C151</v>
      </c>
      <c r="L227" s="8"/>
      <c r="M227" s="9" t="str">
        <f t="shared" si="1"/>
        <v>AKU1691</v>
      </c>
      <c r="N227" s="9">
        <f t="shared" si="2"/>
        <v>7</v>
      </c>
      <c r="O227" s="9" t="str">
        <f t="shared" si="3"/>
        <v>K/2AKU1691</v>
      </c>
    </row>
    <row r="228" spans="1:15" ht="17.5" x14ac:dyDescent="0.55000000000000004">
      <c r="A228" s="12" t="s">
        <v>347</v>
      </c>
      <c r="B228" s="6" t="s">
        <v>47</v>
      </c>
      <c r="C228" s="6" t="s">
        <v>25</v>
      </c>
      <c r="D228" s="5" t="s">
        <v>371</v>
      </c>
      <c r="E228" s="6" t="s">
        <v>16</v>
      </c>
      <c r="F228" s="6" t="s">
        <v>372</v>
      </c>
      <c r="G228" s="6" t="s">
        <v>355</v>
      </c>
      <c r="H228" s="6">
        <v>20</v>
      </c>
      <c r="I228" s="6" t="s">
        <v>350</v>
      </c>
      <c r="J228" s="6">
        <v>2</v>
      </c>
      <c r="K228" s="7" t="str">
        <f t="shared" si="0"/>
        <v>C151</v>
      </c>
      <c r="L228" s="8"/>
      <c r="M228" s="9" t="str">
        <f t="shared" si="1"/>
        <v>AKU1612</v>
      </c>
      <c r="N228" s="9">
        <f t="shared" si="2"/>
        <v>7</v>
      </c>
      <c r="O228" s="9" t="str">
        <f t="shared" si="3"/>
        <v>K/1AKU1612</v>
      </c>
    </row>
    <row r="229" spans="1:15" ht="17.5" x14ac:dyDescent="0.55000000000000004">
      <c r="A229" s="13" t="s">
        <v>347</v>
      </c>
      <c r="B229" s="11" t="s">
        <v>47</v>
      </c>
      <c r="C229" s="11" t="s">
        <v>64</v>
      </c>
      <c r="D229" s="10" t="s">
        <v>373</v>
      </c>
      <c r="E229" s="11" t="s">
        <v>16</v>
      </c>
      <c r="F229" s="11" t="s">
        <v>374</v>
      </c>
      <c r="G229" s="11" t="s">
        <v>17</v>
      </c>
      <c r="H229" s="11">
        <v>0</v>
      </c>
      <c r="I229" s="11" t="s">
        <v>350</v>
      </c>
      <c r="J229" s="11">
        <v>2</v>
      </c>
      <c r="K229" s="7" t="str">
        <f t="shared" si="0"/>
        <v>C151</v>
      </c>
      <c r="L229" s="8"/>
      <c r="M229" s="9" t="str">
        <f t="shared" si="1"/>
        <v>AKU1632</v>
      </c>
      <c r="N229" s="9">
        <f t="shared" si="2"/>
        <v>7</v>
      </c>
      <c r="O229" s="9" t="str">
        <f t="shared" si="3"/>
        <v>K/1AKU1632</v>
      </c>
    </row>
    <row r="230" spans="1:15" ht="17.5" x14ac:dyDescent="0.55000000000000004">
      <c r="A230" s="12" t="s">
        <v>347</v>
      </c>
      <c r="B230" s="6" t="s">
        <v>47</v>
      </c>
      <c r="C230" s="6" t="s">
        <v>138</v>
      </c>
      <c r="D230" s="5" t="s">
        <v>362</v>
      </c>
      <c r="E230" s="6" t="s">
        <v>50</v>
      </c>
      <c r="F230" s="6" t="s">
        <v>363</v>
      </c>
      <c r="G230" s="6" t="s">
        <v>17</v>
      </c>
      <c r="H230" s="6">
        <v>0</v>
      </c>
      <c r="I230" s="6" t="s">
        <v>350</v>
      </c>
      <c r="J230" s="6">
        <v>2</v>
      </c>
      <c r="K230" s="7" t="str">
        <f t="shared" si="0"/>
        <v>C151</v>
      </c>
      <c r="L230" s="8"/>
      <c r="M230" s="9" t="str">
        <f t="shared" si="1"/>
        <v>AKU1642</v>
      </c>
      <c r="N230" s="9">
        <f t="shared" si="2"/>
        <v>7</v>
      </c>
      <c r="O230" s="9" t="str">
        <f t="shared" si="3"/>
        <v>P/1AKU1642</v>
      </c>
    </row>
    <row r="231" spans="1:15" ht="17.5" x14ac:dyDescent="0.55000000000000004">
      <c r="A231" s="13" t="s">
        <v>347</v>
      </c>
      <c r="B231" s="11" t="s">
        <v>52</v>
      </c>
      <c r="C231" s="11" t="s">
        <v>92</v>
      </c>
      <c r="D231" s="10" t="s">
        <v>368</v>
      </c>
      <c r="E231" s="11" t="s">
        <v>144</v>
      </c>
      <c r="F231" s="11" t="s">
        <v>358</v>
      </c>
      <c r="G231" s="11" t="s">
        <v>17</v>
      </c>
      <c r="H231" s="11">
        <v>0</v>
      </c>
      <c r="I231" s="11" t="s">
        <v>350</v>
      </c>
      <c r="J231" s="11">
        <v>2</v>
      </c>
      <c r="K231" s="7" t="str">
        <f t="shared" si="0"/>
        <v>C151</v>
      </c>
      <c r="L231" s="8"/>
      <c r="M231" s="9" t="str">
        <f t="shared" si="1"/>
        <v>AKU1622</v>
      </c>
      <c r="N231" s="9">
        <f t="shared" si="2"/>
        <v>7</v>
      </c>
      <c r="O231" s="9" t="str">
        <f t="shared" si="3"/>
        <v>P/2AKU1622</v>
      </c>
    </row>
    <row r="232" spans="1:15" ht="17.5" x14ac:dyDescent="0.55000000000000004">
      <c r="A232" s="12" t="s">
        <v>347</v>
      </c>
      <c r="B232" s="6" t="s">
        <v>52</v>
      </c>
      <c r="C232" s="6" t="s">
        <v>25</v>
      </c>
      <c r="D232" s="5" t="s">
        <v>375</v>
      </c>
      <c r="E232" s="6" t="s">
        <v>16</v>
      </c>
      <c r="F232" s="6" t="s">
        <v>376</v>
      </c>
      <c r="G232" s="6" t="s">
        <v>17</v>
      </c>
      <c r="H232" s="6">
        <v>0</v>
      </c>
      <c r="I232" s="6" t="s">
        <v>350</v>
      </c>
      <c r="J232" s="6">
        <v>2</v>
      </c>
      <c r="K232" s="7" t="str">
        <f t="shared" si="0"/>
        <v>C151</v>
      </c>
      <c r="L232" s="8"/>
      <c r="M232" s="9" t="str">
        <f t="shared" si="1"/>
        <v>AKU1631</v>
      </c>
      <c r="N232" s="9">
        <f t="shared" si="2"/>
        <v>7</v>
      </c>
      <c r="O232" s="9" t="str">
        <f t="shared" si="3"/>
        <v>K/1AKU1631</v>
      </c>
    </row>
    <row r="233" spans="1:15" ht="17.5" x14ac:dyDescent="0.55000000000000004">
      <c r="A233" s="13" t="s">
        <v>347</v>
      </c>
      <c r="B233" s="11" t="s">
        <v>52</v>
      </c>
      <c r="C233" s="11" t="s">
        <v>64</v>
      </c>
      <c r="D233" s="10" t="s">
        <v>377</v>
      </c>
      <c r="E233" s="11" t="s">
        <v>16</v>
      </c>
      <c r="F233" s="11" t="s">
        <v>349</v>
      </c>
      <c r="G233" s="11" t="s">
        <v>17</v>
      </c>
      <c r="H233" s="11">
        <v>0</v>
      </c>
      <c r="I233" s="11" t="s">
        <v>350</v>
      </c>
      <c r="J233" s="11">
        <v>2</v>
      </c>
      <c r="K233" s="7" t="str">
        <f t="shared" si="0"/>
        <v>C151</v>
      </c>
      <c r="L233" s="8"/>
      <c r="M233" s="9" t="str">
        <f t="shared" si="1"/>
        <v>AKU1652</v>
      </c>
      <c r="N233" s="9">
        <f t="shared" si="2"/>
        <v>7</v>
      </c>
      <c r="O233" s="9" t="str">
        <f t="shared" si="3"/>
        <v>K/1AKU1652</v>
      </c>
    </row>
    <row r="234" spans="1:15" ht="17.5" x14ac:dyDescent="0.55000000000000004">
      <c r="A234" s="12" t="s">
        <v>347</v>
      </c>
      <c r="B234" s="6" t="s">
        <v>52</v>
      </c>
      <c r="C234" s="6" t="s">
        <v>138</v>
      </c>
      <c r="D234" s="5" t="s">
        <v>373</v>
      </c>
      <c r="E234" s="6" t="s">
        <v>50</v>
      </c>
      <c r="F234" s="6" t="s">
        <v>374</v>
      </c>
      <c r="G234" s="6" t="s">
        <v>17</v>
      </c>
      <c r="H234" s="6">
        <v>0</v>
      </c>
      <c r="I234" s="6" t="s">
        <v>350</v>
      </c>
      <c r="J234" s="6">
        <v>2</v>
      </c>
      <c r="K234" s="7" t="str">
        <f t="shared" si="0"/>
        <v>C151</v>
      </c>
      <c r="L234" s="8"/>
      <c r="M234" s="9" t="str">
        <f t="shared" si="1"/>
        <v>AKU1632</v>
      </c>
      <c r="N234" s="9">
        <f t="shared" si="2"/>
        <v>7</v>
      </c>
      <c r="O234" s="9" t="str">
        <f t="shared" si="3"/>
        <v>P/1AKU1632</v>
      </c>
    </row>
    <row r="235" spans="1:15" ht="17.5" x14ac:dyDescent="0.55000000000000004">
      <c r="A235" s="13" t="s">
        <v>378</v>
      </c>
      <c r="B235" s="11" t="s">
        <v>13</v>
      </c>
      <c r="C235" s="11" t="s">
        <v>239</v>
      </c>
      <c r="D235" s="13" t="s">
        <v>379</v>
      </c>
      <c r="E235" s="11" t="s">
        <v>16</v>
      </c>
      <c r="F235" s="11" t="s">
        <v>380</v>
      </c>
      <c r="G235" s="11" t="s">
        <v>381</v>
      </c>
      <c r="H235" s="11">
        <v>20</v>
      </c>
      <c r="I235" s="11" t="s">
        <v>382</v>
      </c>
      <c r="J235" s="11">
        <v>2</v>
      </c>
      <c r="K235" s="7" t="str">
        <f t="shared" si="0"/>
        <v>C251</v>
      </c>
      <c r="L235" s="8"/>
      <c r="M235" s="9" t="str">
        <f t="shared" si="1"/>
        <v>SDP1526</v>
      </c>
      <c r="N235" s="9">
        <f t="shared" si="2"/>
        <v>7</v>
      </c>
      <c r="O235" s="9" t="str">
        <f t="shared" si="3"/>
        <v>K/1SDP1526</v>
      </c>
    </row>
    <row r="236" spans="1:15" ht="17.5" x14ac:dyDescent="0.55000000000000004">
      <c r="A236" s="12" t="s">
        <v>378</v>
      </c>
      <c r="B236" s="6" t="s">
        <v>13</v>
      </c>
      <c r="C236" s="6" t="s">
        <v>268</v>
      </c>
      <c r="D236" s="12" t="s">
        <v>383</v>
      </c>
      <c r="E236" s="6" t="s">
        <v>16</v>
      </c>
      <c r="F236" s="6" t="s">
        <v>384</v>
      </c>
      <c r="G236" s="6" t="s">
        <v>381</v>
      </c>
      <c r="H236" s="6">
        <v>20</v>
      </c>
      <c r="I236" s="6" t="s">
        <v>382</v>
      </c>
      <c r="J236" s="6">
        <v>2</v>
      </c>
      <c r="K236" s="7" t="str">
        <f t="shared" si="0"/>
        <v>C251</v>
      </c>
      <c r="L236" s="8"/>
      <c r="M236" s="9" t="str">
        <f t="shared" si="1"/>
        <v>SDP1524</v>
      </c>
      <c r="N236" s="9">
        <f t="shared" si="2"/>
        <v>7</v>
      </c>
      <c r="O236" s="9" t="str">
        <f t="shared" si="3"/>
        <v>K/1SDP1524</v>
      </c>
    </row>
    <row r="237" spans="1:15" ht="17.5" x14ac:dyDescent="0.55000000000000004">
      <c r="A237" s="13" t="s">
        <v>378</v>
      </c>
      <c r="B237" s="11" t="s">
        <v>13</v>
      </c>
      <c r="C237" s="11" t="s">
        <v>385</v>
      </c>
      <c r="D237" s="13" t="s">
        <v>386</v>
      </c>
      <c r="E237" s="11" t="s">
        <v>16</v>
      </c>
      <c r="F237" s="11" t="s">
        <v>387</v>
      </c>
      <c r="G237" s="11" t="s">
        <v>388</v>
      </c>
      <c r="H237" s="11">
        <v>20</v>
      </c>
      <c r="I237" s="11" t="s">
        <v>382</v>
      </c>
      <c r="J237" s="11">
        <v>2</v>
      </c>
      <c r="K237" s="7" t="str">
        <f t="shared" si="0"/>
        <v>C251</v>
      </c>
      <c r="L237" s="8"/>
      <c r="M237" s="9" t="str">
        <f t="shared" si="1"/>
        <v>SDP1523</v>
      </c>
      <c r="N237" s="9">
        <f t="shared" si="2"/>
        <v>7</v>
      </c>
      <c r="O237" s="9" t="str">
        <f t="shared" si="3"/>
        <v>K/1SDP1523</v>
      </c>
    </row>
    <row r="238" spans="1:15" ht="17.5" x14ac:dyDescent="0.55000000000000004">
      <c r="A238" s="12" t="s">
        <v>378</v>
      </c>
      <c r="B238" s="6" t="s">
        <v>13</v>
      </c>
      <c r="C238" s="6" t="s">
        <v>25</v>
      </c>
      <c r="D238" s="12" t="s">
        <v>389</v>
      </c>
      <c r="E238" s="6" t="s">
        <v>16</v>
      </c>
      <c r="F238" s="6" t="s">
        <v>380</v>
      </c>
      <c r="G238" s="6" t="s">
        <v>381</v>
      </c>
      <c r="H238" s="6">
        <v>20</v>
      </c>
      <c r="I238" s="6" t="s">
        <v>382</v>
      </c>
      <c r="J238" s="6">
        <v>1</v>
      </c>
      <c r="K238" s="7" t="str">
        <f t="shared" si="0"/>
        <v>C251</v>
      </c>
      <c r="L238" s="8"/>
      <c r="M238" s="9" t="str">
        <f t="shared" si="1"/>
        <v>SDP1521</v>
      </c>
      <c r="N238" s="9">
        <f t="shared" si="2"/>
        <v>7</v>
      </c>
      <c r="O238" s="9" t="str">
        <f t="shared" si="3"/>
        <v>K/1SDP1521</v>
      </c>
    </row>
    <row r="239" spans="1:15" ht="17.5" x14ac:dyDescent="0.55000000000000004">
      <c r="A239" s="13" t="s">
        <v>378</v>
      </c>
      <c r="B239" s="11" t="s">
        <v>13</v>
      </c>
      <c r="C239" s="11" t="s">
        <v>221</v>
      </c>
      <c r="D239" s="13" t="s">
        <v>390</v>
      </c>
      <c r="E239" s="11" t="s">
        <v>16</v>
      </c>
      <c r="F239" s="11" t="s">
        <v>391</v>
      </c>
      <c r="G239" s="11" t="s">
        <v>392</v>
      </c>
      <c r="H239" s="11">
        <v>20</v>
      </c>
      <c r="I239" s="11" t="s">
        <v>382</v>
      </c>
      <c r="J239" s="11">
        <v>2</v>
      </c>
      <c r="K239" s="7" t="str">
        <f t="shared" si="0"/>
        <v>C251</v>
      </c>
      <c r="L239" s="8"/>
      <c r="M239" s="9" t="str">
        <f t="shared" si="1"/>
        <v>SDP1623</v>
      </c>
      <c r="N239" s="9">
        <f t="shared" si="2"/>
        <v>7</v>
      </c>
      <c r="O239" s="9" t="str">
        <f t="shared" si="3"/>
        <v>K/1SDP1623</v>
      </c>
    </row>
    <row r="240" spans="1:15" ht="17.5" x14ac:dyDescent="0.55000000000000004">
      <c r="A240" s="12" t="s">
        <v>378</v>
      </c>
      <c r="B240" s="6" t="s">
        <v>13</v>
      </c>
      <c r="C240" s="6" t="s">
        <v>64</v>
      </c>
      <c r="D240" s="12" t="s">
        <v>393</v>
      </c>
      <c r="E240" s="6" t="s">
        <v>16</v>
      </c>
      <c r="F240" s="6" t="s">
        <v>394</v>
      </c>
      <c r="G240" s="6" t="s">
        <v>381</v>
      </c>
      <c r="H240" s="6">
        <v>20</v>
      </c>
      <c r="I240" s="6" t="s">
        <v>382</v>
      </c>
      <c r="J240" s="6">
        <v>2</v>
      </c>
      <c r="K240" s="7" t="str">
        <f t="shared" si="0"/>
        <v>C251</v>
      </c>
      <c r="L240" s="8"/>
      <c r="M240" s="9" t="str">
        <f t="shared" si="1"/>
        <v>SDP1502</v>
      </c>
      <c r="N240" s="9">
        <f t="shared" si="2"/>
        <v>7</v>
      </c>
      <c r="O240" s="9" t="str">
        <f t="shared" si="3"/>
        <v>K/1SDP1502</v>
      </c>
    </row>
    <row r="241" spans="1:15" ht="17.5" x14ac:dyDescent="0.55000000000000004">
      <c r="A241" s="13" t="s">
        <v>378</v>
      </c>
      <c r="B241" s="11" t="s">
        <v>13</v>
      </c>
      <c r="C241" s="11" t="s">
        <v>395</v>
      </c>
      <c r="D241" s="13" t="s">
        <v>386</v>
      </c>
      <c r="E241" s="11" t="s">
        <v>50</v>
      </c>
      <c r="F241" s="11" t="s">
        <v>387</v>
      </c>
      <c r="G241" s="11" t="s">
        <v>381</v>
      </c>
      <c r="H241" s="11">
        <v>20</v>
      </c>
      <c r="I241" s="11" t="s">
        <v>382</v>
      </c>
      <c r="J241" s="11">
        <v>2</v>
      </c>
      <c r="K241" s="7" t="str">
        <f t="shared" si="0"/>
        <v>C251</v>
      </c>
      <c r="L241" s="8"/>
      <c r="M241" s="9" t="str">
        <f t="shared" si="1"/>
        <v>SDP1523</v>
      </c>
      <c r="N241" s="9">
        <f t="shared" si="2"/>
        <v>7</v>
      </c>
      <c r="O241" s="9" t="str">
        <f t="shared" si="3"/>
        <v>P/1SDP1523</v>
      </c>
    </row>
    <row r="242" spans="1:15" ht="17.5" x14ac:dyDescent="0.55000000000000004">
      <c r="A242" s="12" t="s">
        <v>378</v>
      </c>
      <c r="B242" s="6" t="s">
        <v>13</v>
      </c>
      <c r="C242" s="6" t="s">
        <v>101</v>
      </c>
      <c r="D242" s="12" t="s">
        <v>396</v>
      </c>
      <c r="E242" s="6" t="s">
        <v>16</v>
      </c>
      <c r="F242" s="6" t="s">
        <v>380</v>
      </c>
      <c r="G242" s="6" t="s">
        <v>388</v>
      </c>
      <c r="H242" s="6">
        <v>20</v>
      </c>
      <c r="I242" s="6" t="s">
        <v>382</v>
      </c>
      <c r="J242" s="6">
        <v>1</v>
      </c>
      <c r="K242" s="7" t="str">
        <f t="shared" si="0"/>
        <v>C251</v>
      </c>
      <c r="L242" s="8"/>
      <c r="M242" s="9" t="str">
        <f t="shared" si="1"/>
        <v>SDP1501</v>
      </c>
      <c r="N242" s="9">
        <f t="shared" si="2"/>
        <v>7</v>
      </c>
      <c r="O242" s="9" t="str">
        <f t="shared" si="3"/>
        <v>K/1SDP1501</v>
      </c>
    </row>
    <row r="243" spans="1:15" ht="17.5" x14ac:dyDescent="0.55000000000000004">
      <c r="A243" s="13" t="s">
        <v>378</v>
      </c>
      <c r="B243" s="11" t="s">
        <v>13</v>
      </c>
      <c r="C243" s="11" t="s">
        <v>397</v>
      </c>
      <c r="D243" s="13" t="s">
        <v>398</v>
      </c>
      <c r="E243" s="11" t="s">
        <v>16</v>
      </c>
      <c r="F243" s="11" t="s">
        <v>399</v>
      </c>
      <c r="G243" s="11" t="s">
        <v>400</v>
      </c>
      <c r="H243" s="11">
        <v>20</v>
      </c>
      <c r="I243" s="11" t="s">
        <v>382</v>
      </c>
      <c r="J243" s="11">
        <v>2</v>
      </c>
      <c r="K243" s="7" t="str">
        <f t="shared" si="0"/>
        <v>C251</v>
      </c>
      <c r="L243" s="8"/>
      <c r="M243" s="9" t="str">
        <f t="shared" si="1"/>
        <v>SDP1512</v>
      </c>
      <c r="N243" s="9">
        <f t="shared" si="2"/>
        <v>7</v>
      </c>
      <c r="O243" s="9" t="str">
        <f t="shared" si="3"/>
        <v>K/1SDP1512</v>
      </c>
    </row>
    <row r="244" spans="1:15" ht="17.5" x14ac:dyDescent="0.55000000000000004">
      <c r="A244" s="12" t="s">
        <v>378</v>
      </c>
      <c r="B244" s="6" t="s">
        <v>31</v>
      </c>
      <c r="C244" s="6" t="s">
        <v>268</v>
      </c>
      <c r="D244" s="12" t="s">
        <v>401</v>
      </c>
      <c r="E244" s="6" t="s">
        <v>16</v>
      </c>
      <c r="F244" s="6" t="s">
        <v>402</v>
      </c>
      <c r="G244" s="6" t="s">
        <v>381</v>
      </c>
      <c r="H244" s="6">
        <v>20</v>
      </c>
      <c r="I244" s="6" t="s">
        <v>382</v>
      </c>
      <c r="J244" s="6">
        <v>2</v>
      </c>
      <c r="K244" s="7" t="str">
        <f t="shared" si="0"/>
        <v>C251</v>
      </c>
      <c r="L244" s="8"/>
      <c r="M244" s="9" t="str">
        <f t="shared" si="1"/>
        <v>SDP1525</v>
      </c>
      <c r="N244" s="9">
        <f t="shared" si="2"/>
        <v>7</v>
      </c>
      <c r="O244" s="9" t="str">
        <f t="shared" si="3"/>
        <v>K/1SDP1525</v>
      </c>
    </row>
    <row r="245" spans="1:15" ht="17.5" x14ac:dyDescent="0.55000000000000004">
      <c r="A245" s="13" t="s">
        <v>378</v>
      </c>
      <c r="B245" s="11" t="s">
        <v>31</v>
      </c>
      <c r="C245" s="11" t="s">
        <v>385</v>
      </c>
      <c r="D245" s="13" t="s">
        <v>403</v>
      </c>
      <c r="E245" s="11" t="s">
        <v>16</v>
      </c>
      <c r="F245" s="11" t="s">
        <v>404</v>
      </c>
      <c r="G245" s="11" t="s">
        <v>381</v>
      </c>
      <c r="H245" s="11">
        <v>20</v>
      </c>
      <c r="I245" s="11" t="s">
        <v>382</v>
      </c>
      <c r="J245" s="11">
        <v>2</v>
      </c>
      <c r="K245" s="7" t="str">
        <f t="shared" si="0"/>
        <v>C251</v>
      </c>
      <c r="L245" s="8"/>
      <c r="M245" s="9" t="str">
        <f t="shared" si="1"/>
        <v>SDP1636</v>
      </c>
      <c r="N245" s="9">
        <f t="shared" si="2"/>
        <v>7</v>
      </c>
      <c r="O245" s="9" t="str">
        <f t="shared" si="3"/>
        <v>K/1SDP1636</v>
      </c>
    </row>
    <row r="246" spans="1:15" ht="17.5" x14ac:dyDescent="0.55000000000000004">
      <c r="A246" s="12" t="s">
        <v>378</v>
      </c>
      <c r="B246" s="6" t="s">
        <v>31</v>
      </c>
      <c r="C246" s="6" t="s">
        <v>221</v>
      </c>
      <c r="D246" s="12" t="s">
        <v>405</v>
      </c>
      <c r="E246" s="6" t="s">
        <v>16</v>
      </c>
      <c r="F246" s="6" t="s">
        <v>394</v>
      </c>
      <c r="G246" s="6" t="s">
        <v>17</v>
      </c>
      <c r="H246" s="6">
        <v>0</v>
      </c>
      <c r="I246" s="6" t="s">
        <v>406</v>
      </c>
      <c r="J246" s="6">
        <v>2</v>
      </c>
      <c r="K246" s="7" t="str">
        <f t="shared" si="0"/>
        <v>C251</v>
      </c>
      <c r="L246" s="8"/>
      <c r="M246" s="9" t="str">
        <f t="shared" si="1"/>
        <v>SDP1615</v>
      </c>
      <c r="N246" s="9">
        <f t="shared" si="2"/>
        <v>7</v>
      </c>
      <c r="O246" s="9" t="str">
        <f t="shared" si="3"/>
        <v>K/1SDP1615</v>
      </c>
    </row>
    <row r="247" spans="1:15" ht="17.5" x14ac:dyDescent="0.55000000000000004">
      <c r="A247" s="13" t="s">
        <v>378</v>
      </c>
      <c r="B247" s="11" t="s">
        <v>31</v>
      </c>
      <c r="C247" s="11" t="s">
        <v>221</v>
      </c>
      <c r="D247" s="13" t="s">
        <v>407</v>
      </c>
      <c r="E247" s="11" t="s">
        <v>16</v>
      </c>
      <c r="F247" s="11" t="s">
        <v>391</v>
      </c>
      <c r="G247" s="11" t="s">
        <v>17</v>
      </c>
      <c r="H247" s="11">
        <v>0</v>
      </c>
      <c r="I247" s="11" t="s">
        <v>382</v>
      </c>
      <c r="J247" s="11">
        <v>2</v>
      </c>
      <c r="K247" s="7" t="str">
        <f t="shared" si="0"/>
        <v>C251</v>
      </c>
      <c r="L247" s="8"/>
      <c r="M247" s="9" t="str">
        <f t="shared" si="1"/>
        <v>SDP1621</v>
      </c>
      <c r="N247" s="9">
        <f t="shared" si="2"/>
        <v>7</v>
      </c>
      <c r="O247" s="9" t="str">
        <f t="shared" si="3"/>
        <v>K/1SDP1621</v>
      </c>
    </row>
    <row r="248" spans="1:15" ht="17.5" x14ac:dyDescent="0.55000000000000004">
      <c r="A248" s="12" t="s">
        <v>378</v>
      </c>
      <c r="B248" s="6" t="s">
        <v>31</v>
      </c>
      <c r="C248" s="6" t="s">
        <v>64</v>
      </c>
      <c r="D248" s="12" t="s">
        <v>408</v>
      </c>
      <c r="E248" s="6" t="s">
        <v>16</v>
      </c>
      <c r="F248" s="6" t="s">
        <v>409</v>
      </c>
      <c r="G248" s="6" t="s">
        <v>381</v>
      </c>
      <c r="H248" s="6">
        <v>20</v>
      </c>
      <c r="I248" s="6" t="s">
        <v>382</v>
      </c>
      <c r="J248" s="6">
        <v>1</v>
      </c>
      <c r="K248" s="7" t="str">
        <f t="shared" si="0"/>
        <v>C251</v>
      </c>
      <c r="L248" s="8"/>
      <c r="M248" s="9" t="str">
        <f t="shared" si="1"/>
        <v>SDP1522</v>
      </c>
      <c r="N248" s="9">
        <f t="shared" si="2"/>
        <v>7</v>
      </c>
      <c r="O248" s="9" t="str">
        <f t="shared" si="3"/>
        <v>K/1SDP1522</v>
      </c>
    </row>
    <row r="249" spans="1:15" ht="17.5" x14ac:dyDescent="0.55000000000000004">
      <c r="A249" s="13" t="s">
        <v>378</v>
      </c>
      <c r="B249" s="11" t="s">
        <v>31</v>
      </c>
      <c r="C249" s="11" t="s">
        <v>49</v>
      </c>
      <c r="D249" s="13" t="s">
        <v>379</v>
      </c>
      <c r="E249" s="11" t="s">
        <v>50</v>
      </c>
      <c r="F249" s="11" t="s">
        <v>380</v>
      </c>
      <c r="G249" s="11" t="s">
        <v>400</v>
      </c>
      <c r="H249" s="11">
        <v>20</v>
      </c>
      <c r="I249" s="11" t="s">
        <v>382</v>
      </c>
      <c r="J249" s="11">
        <v>2</v>
      </c>
      <c r="K249" s="7" t="str">
        <f t="shared" si="0"/>
        <v>C251</v>
      </c>
      <c r="L249" s="8"/>
      <c r="M249" s="9" t="str">
        <f t="shared" si="1"/>
        <v>SDP1526</v>
      </c>
      <c r="N249" s="9">
        <f t="shared" si="2"/>
        <v>7</v>
      </c>
      <c r="O249" s="9" t="str">
        <f t="shared" si="3"/>
        <v>P/1SDP1526</v>
      </c>
    </row>
    <row r="250" spans="1:15" ht="17.5" x14ac:dyDescent="0.55000000000000004">
      <c r="A250" s="12" t="s">
        <v>378</v>
      </c>
      <c r="B250" s="6" t="s">
        <v>31</v>
      </c>
      <c r="C250" s="6" t="s">
        <v>138</v>
      </c>
      <c r="D250" s="12" t="s">
        <v>393</v>
      </c>
      <c r="E250" s="6" t="s">
        <v>50</v>
      </c>
      <c r="F250" s="6" t="s">
        <v>394</v>
      </c>
      <c r="G250" s="6" t="s">
        <v>410</v>
      </c>
      <c r="H250" s="6">
        <v>20</v>
      </c>
      <c r="I250" s="6" t="s">
        <v>382</v>
      </c>
      <c r="J250" s="6">
        <v>2</v>
      </c>
      <c r="K250" s="7" t="str">
        <f t="shared" si="0"/>
        <v>C251</v>
      </c>
      <c r="L250" s="8"/>
      <c r="M250" s="9" t="str">
        <f t="shared" si="1"/>
        <v>SDP1502</v>
      </c>
      <c r="N250" s="9">
        <f t="shared" si="2"/>
        <v>7</v>
      </c>
      <c r="O250" s="9" t="str">
        <f t="shared" si="3"/>
        <v>P/1SDP1502</v>
      </c>
    </row>
    <row r="251" spans="1:15" ht="17.5" x14ac:dyDescent="0.55000000000000004">
      <c r="A251" s="13" t="s">
        <v>378</v>
      </c>
      <c r="B251" s="11" t="s">
        <v>31</v>
      </c>
      <c r="C251" s="11" t="s">
        <v>138</v>
      </c>
      <c r="D251" s="13" t="s">
        <v>408</v>
      </c>
      <c r="E251" s="11" t="s">
        <v>50</v>
      </c>
      <c r="F251" s="11" t="s">
        <v>409</v>
      </c>
      <c r="G251" s="11" t="s">
        <v>381</v>
      </c>
      <c r="H251" s="11">
        <v>20</v>
      </c>
      <c r="I251" s="11" t="s">
        <v>382</v>
      </c>
      <c r="J251" s="11">
        <v>1</v>
      </c>
      <c r="K251" s="7" t="str">
        <f t="shared" si="0"/>
        <v>C251</v>
      </c>
      <c r="L251" s="8"/>
      <c r="M251" s="9" t="str">
        <f t="shared" si="1"/>
        <v>SDP1522</v>
      </c>
      <c r="N251" s="9">
        <f t="shared" si="2"/>
        <v>7</v>
      </c>
      <c r="O251" s="9" t="str">
        <f t="shared" si="3"/>
        <v>P/1SDP1522</v>
      </c>
    </row>
    <row r="252" spans="1:15" ht="17.5" x14ac:dyDescent="0.55000000000000004">
      <c r="A252" s="12" t="s">
        <v>378</v>
      </c>
      <c r="B252" s="6" t="s">
        <v>31</v>
      </c>
      <c r="C252" s="6" t="s">
        <v>138</v>
      </c>
      <c r="D252" s="12" t="s">
        <v>390</v>
      </c>
      <c r="E252" s="6" t="s">
        <v>50</v>
      </c>
      <c r="F252" s="6" t="s">
        <v>391</v>
      </c>
      <c r="G252" s="6" t="s">
        <v>392</v>
      </c>
      <c r="H252" s="6">
        <v>20</v>
      </c>
      <c r="I252" s="6" t="s">
        <v>382</v>
      </c>
      <c r="J252" s="6">
        <v>2</v>
      </c>
      <c r="K252" s="7" t="str">
        <f t="shared" si="0"/>
        <v>C251</v>
      </c>
      <c r="L252" s="8"/>
      <c r="M252" s="9" t="str">
        <f t="shared" si="1"/>
        <v>SDP1623</v>
      </c>
      <c r="N252" s="9">
        <f t="shared" si="2"/>
        <v>7</v>
      </c>
      <c r="O252" s="9" t="str">
        <f t="shared" si="3"/>
        <v>P/1SDP1623</v>
      </c>
    </row>
    <row r="253" spans="1:15" ht="17.5" x14ac:dyDescent="0.55000000000000004">
      <c r="A253" s="13" t="s">
        <v>378</v>
      </c>
      <c r="B253" s="11" t="s">
        <v>41</v>
      </c>
      <c r="C253" s="11" t="s">
        <v>261</v>
      </c>
      <c r="D253" s="13" t="s">
        <v>411</v>
      </c>
      <c r="E253" s="11" t="s">
        <v>16</v>
      </c>
      <c r="F253" s="11" t="s">
        <v>412</v>
      </c>
      <c r="G253" s="11" t="s">
        <v>17</v>
      </c>
      <c r="H253" s="11">
        <v>0</v>
      </c>
      <c r="I253" s="11" t="s">
        <v>382</v>
      </c>
      <c r="J253" s="11">
        <v>2</v>
      </c>
      <c r="K253" s="7" t="str">
        <f t="shared" si="0"/>
        <v>C251</v>
      </c>
      <c r="L253" s="8"/>
      <c r="M253" s="9" t="str">
        <f t="shared" si="1"/>
        <v>SDP1513</v>
      </c>
      <c r="N253" s="9">
        <f t="shared" si="2"/>
        <v>7</v>
      </c>
      <c r="O253" s="9" t="str">
        <f t="shared" si="3"/>
        <v>K/1SDP1513</v>
      </c>
    </row>
    <row r="254" spans="1:15" ht="17.5" x14ac:dyDescent="0.55000000000000004">
      <c r="A254" s="12" t="s">
        <v>378</v>
      </c>
      <c r="B254" s="6" t="s">
        <v>41</v>
      </c>
      <c r="C254" s="6" t="s">
        <v>261</v>
      </c>
      <c r="D254" s="12" t="s">
        <v>413</v>
      </c>
      <c r="E254" s="6" t="s">
        <v>16</v>
      </c>
      <c r="F254" s="6" t="s">
        <v>409</v>
      </c>
      <c r="G254" s="6" t="s">
        <v>17</v>
      </c>
      <c r="H254" s="6">
        <v>0</v>
      </c>
      <c r="I254" s="6" t="s">
        <v>406</v>
      </c>
      <c r="J254" s="6">
        <v>2</v>
      </c>
      <c r="K254" s="7" t="str">
        <f t="shared" si="0"/>
        <v>C251</v>
      </c>
      <c r="L254" s="8"/>
      <c r="M254" s="9" t="str">
        <f t="shared" si="1"/>
        <v>SDP1622</v>
      </c>
      <c r="N254" s="9">
        <f t="shared" si="2"/>
        <v>7</v>
      </c>
      <c r="O254" s="9" t="str">
        <f t="shared" si="3"/>
        <v>K/1SDP1622</v>
      </c>
    </row>
    <row r="255" spans="1:15" ht="17.5" x14ac:dyDescent="0.55000000000000004">
      <c r="A255" s="13" t="s">
        <v>378</v>
      </c>
      <c r="B255" s="11" t="s">
        <v>41</v>
      </c>
      <c r="C255" s="11" t="s">
        <v>64</v>
      </c>
      <c r="D255" s="13" t="s">
        <v>414</v>
      </c>
      <c r="E255" s="11" t="s">
        <v>16</v>
      </c>
      <c r="F255" s="11" t="s">
        <v>402</v>
      </c>
      <c r="G255" s="11" t="s">
        <v>400</v>
      </c>
      <c r="H255" s="11">
        <v>20</v>
      </c>
      <c r="I255" s="11" t="s">
        <v>382</v>
      </c>
      <c r="J255" s="11">
        <v>2</v>
      </c>
      <c r="K255" s="7" t="str">
        <f t="shared" si="0"/>
        <v>C251</v>
      </c>
      <c r="L255" s="8"/>
      <c r="M255" s="9" t="str">
        <f t="shared" si="1"/>
        <v>SDP1628</v>
      </c>
      <c r="N255" s="9">
        <f t="shared" si="2"/>
        <v>7</v>
      </c>
      <c r="O255" s="9" t="str">
        <f t="shared" si="3"/>
        <v>K/1SDP1628</v>
      </c>
    </row>
    <row r="256" spans="1:15" ht="17.5" x14ac:dyDescent="0.55000000000000004">
      <c r="A256" s="12" t="s">
        <v>378</v>
      </c>
      <c r="B256" s="6" t="s">
        <v>41</v>
      </c>
      <c r="C256" s="6" t="s">
        <v>415</v>
      </c>
      <c r="D256" s="12" t="s">
        <v>416</v>
      </c>
      <c r="E256" s="6" t="s">
        <v>16</v>
      </c>
      <c r="F256" s="6" t="s">
        <v>417</v>
      </c>
      <c r="G256" s="6" t="s">
        <v>400</v>
      </c>
      <c r="H256" s="6">
        <v>20</v>
      </c>
      <c r="I256" s="6" t="s">
        <v>406</v>
      </c>
      <c r="J256" s="6">
        <v>2</v>
      </c>
      <c r="K256" s="7" t="str">
        <f t="shared" si="0"/>
        <v>C251</v>
      </c>
      <c r="L256" s="8"/>
      <c r="M256" s="9" t="str">
        <f t="shared" si="1"/>
        <v>SDP1631</v>
      </c>
      <c r="N256" s="9">
        <f t="shared" si="2"/>
        <v>7</v>
      </c>
      <c r="O256" s="9" t="str">
        <f t="shared" si="3"/>
        <v>K/1SDP1631</v>
      </c>
    </row>
    <row r="257" spans="1:15" ht="17.5" x14ac:dyDescent="0.55000000000000004">
      <c r="A257" s="13" t="s">
        <v>378</v>
      </c>
      <c r="B257" s="11" t="s">
        <v>41</v>
      </c>
      <c r="C257" s="11" t="s">
        <v>138</v>
      </c>
      <c r="D257" s="13" t="s">
        <v>383</v>
      </c>
      <c r="E257" s="11" t="s">
        <v>50</v>
      </c>
      <c r="F257" s="11" t="s">
        <v>384</v>
      </c>
      <c r="G257" s="11" t="s">
        <v>392</v>
      </c>
      <c r="H257" s="11">
        <v>20</v>
      </c>
      <c r="I257" s="11" t="s">
        <v>382</v>
      </c>
      <c r="J257" s="11">
        <v>2</v>
      </c>
      <c r="K257" s="7" t="str">
        <f t="shared" ref="K257:K511" si="4">LEFT(A257,4)</f>
        <v>C251</v>
      </c>
      <c r="L257" s="8"/>
      <c r="M257" s="9" t="str">
        <f t="shared" ref="M257:M511" si="5">LEFT(D257,7)</f>
        <v>SDP1524</v>
      </c>
      <c r="N257" s="9">
        <f t="shared" ref="N257:N511" si="6">LEN(TRIM(M257))</f>
        <v>7</v>
      </c>
      <c r="O257" s="9" t="str">
        <f t="shared" ref="O257:O511" si="7">E257&amp;LEFT(D257,7)</f>
        <v>P/1SDP1524</v>
      </c>
    </row>
    <row r="258" spans="1:15" ht="17.5" x14ac:dyDescent="0.55000000000000004">
      <c r="A258" s="12" t="s">
        <v>378</v>
      </c>
      <c r="B258" s="6" t="s">
        <v>41</v>
      </c>
      <c r="C258" s="6" t="s">
        <v>138</v>
      </c>
      <c r="D258" s="12" t="s">
        <v>401</v>
      </c>
      <c r="E258" s="6" t="s">
        <v>50</v>
      </c>
      <c r="F258" s="6" t="s">
        <v>402</v>
      </c>
      <c r="G258" s="6" t="s">
        <v>388</v>
      </c>
      <c r="H258" s="6">
        <v>20</v>
      </c>
      <c r="I258" s="6" t="s">
        <v>382</v>
      </c>
      <c r="J258" s="6">
        <v>2</v>
      </c>
      <c r="K258" s="7" t="str">
        <f t="shared" si="4"/>
        <v>C251</v>
      </c>
      <c r="L258" s="8"/>
      <c r="M258" s="9" t="str">
        <f t="shared" si="5"/>
        <v>SDP1525</v>
      </c>
      <c r="N258" s="9">
        <f t="shared" si="6"/>
        <v>7</v>
      </c>
      <c r="O258" s="9" t="str">
        <f t="shared" si="7"/>
        <v>P/1SDP1525</v>
      </c>
    </row>
    <row r="259" spans="1:15" ht="17.5" x14ac:dyDescent="0.55000000000000004">
      <c r="A259" s="13" t="s">
        <v>378</v>
      </c>
      <c r="B259" s="11" t="s">
        <v>41</v>
      </c>
      <c r="C259" s="11" t="s">
        <v>138</v>
      </c>
      <c r="D259" s="13" t="s">
        <v>407</v>
      </c>
      <c r="E259" s="11" t="s">
        <v>50</v>
      </c>
      <c r="F259" s="11" t="s">
        <v>391</v>
      </c>
      <c r="G259" s="11" t="s">
        <v>17</v>
      </c>
      <c r="H259" s="11">
        <v>0</v>
      </c>
      <c r="I259" s="11" t="s">
        <v>382</v>
      </c>
      <c r="J259" s="11">
        <v>2</v>
      </c>
      <c r="K259" s="7" t="str">
        <f t="shared" si="4"/>
        <v>C251</v>
      </c>
      <c r="L259" s="8"/>
      <c r="M259" s="9" t="str">
        <f t="shared" si="5"/>
        <v>SDP1621</v>
      </c>
      <c r="N259" s="9">
        <f t="shared" si="6"/>
        <v>7</v>
      </c>
      <c r="O259" s="9" t="str">
        <f t="shared" si="7"/>
        <v>P/1SDP1621</v>
      </c>
    </row>
    <row r="260" spans="1:15" ht="17.5" x14ac:dyDescent="0.55000000000000004">
      <c r="A260" s="12" t="s">
        <v>378</v>
      </c>
      <c r="B260" s="6" t="s">
        <v>47</v>
      </c>
      <c r="C260" s="6" t="s">
        <v>239</v>
      </c>
      <c r="D260" s="12" t="s">
        <v>418</v>
      </c>
      <c r="E260" s="6" t="s">
        <v>16</v>
      </c>
      <c r="F260" s="6" t="s">
        <v>380</v>
      </c>
      <c r="G260" s="6" t="s">
        <v>400</v>
      </c>
      <c r="H260" s="6">
        <v>20</v>
      </c>
      <c r="I260" s="6" t="s">
        <v>382</v>
      </c>
      <c r="J260" s="6">
        <v>2</v>
      </c>
      <c r="K260" s="7" t="str">
        <f t="shared" si="4"/>
        <v>C251</v>
      </c>
      <c r="L260" s="8"/>
      <c r="M260" s="9" t="str">
        <f t="shared" si="5"/>
        <v>SDP1527</v>
      </c>
      <c r="N260" s="9">
        <f t="shared" si="6"/>
        <v>7</v>
      </c>
      <c r="O260" s="9" t="str">
        <f t="shared" si="7"/>
        <v>K/1SDP1527</v>
      </c>
    </row>
    <row r="261" spans="1:15" ht="17.5" x14ac:dyDescent="0.55000000000000004">
      <c r="A261" s="13" t="s">
        <v>378</v>
      </c>
      <c r="B261" s="11" t="s">
        <v>47</v>
      </c>
      <c r="C261" s="11" t="s">
        <v>132</v>
      </c>
      <c r="D261" s="13" t="s">
        <v>419</v>
      </c>
      <c r="E261" s="11" t="s">
        <v>16</v>
      </c>
      <c r="F261" s="11" t="s">
        <v>420</v>
      </c>
      <c r="G261" s="11" t="s">
        <v>381</v>
      </c>
      <c r="H261" s="11">
        <v>20</v>
      </c>
      <c r="I261" s="11" t="s">
        <v>382</v>
      </c>
      <c r="J261" s="11">
        <v>1</v>
      </c>
      <c r="K261" s="7" t="str">
        <f t="shared" si="4"/>
        <v>C251</v>
      </c>
      <c r="L261" s="8"/>
      <c r="M261" s="9" t="str">
        <f t="shared" si="5"/>
        <v>SDP1503</v>
      </c>
      <c r="N261" s="9">
        <f t="shared" si="6"/>
        <v>7</v>
      </c>
      <c r="O261" s="9" t="str">
        <f t="shared" si="7"/>
        <v>K/1SDP1503</v>
      </c>
    </row>
    <row r="262" spans="1:15" ht="17.5" x14ac:dyDescent="0.55000000000000004">
      <c r="A262" s="12" t="s">
        <v>378</v>
      </c>
      <c r="B262" s="6" t="s">
        <v>47</v>
      </c>
      <c r="C262" s="6" t="s">
        <v>268</v>
      </c>
      <c r="D262" s="12" t="s">
        <v>421</v>
      </c>
      <c r="E262" s="6" t="s">
        <v>16</v>
      </c>
      <c r="F262" s="6" t="s">
        <v>422</v>
      </c>
      <c r="G262" s="6" t="s">
        <v>381</v>
      </c>
      <c r="H262" s="6">
        <v>20</v>
      </c>
      <c r="I262" s="6" t="s">
        <v>406</v>
      </c>
      <c r="J262" s="6">
        <v>2</v>
      </c>
      <c r="K262" s="7" t="str">
        <f t="shared" si="4"/>
        <v>C251</v>
      </c>
      <c r="L262" s="8"/>
      <c r="M262" s="9" t="str">
        <f t="shared" si="5"/>
        <v>SDP1633</v>
      </c>
      <c r="N262" s="9">
        <f t="shared" si="6"/>
        <v>7</v>
      </c>
      <c r="O262" s="9" t="str">
        <f t="shared" si="7"/>
        <v>K/1SDP1633</v>
      </c>
    </row>
    <row r="263" spans="1:15" ht="17.5" x14ac:dyDescent="0.55000000000000004">
      <c r="A263" s="13" t="s">
        <v>378</v>
      </c>
      <c r="B263" s="11" t="s">
        <v>47</v>
      </c>
      <c r="C263" s="11" t="s">
        <v>423</v>
      </c>
      <c r="D263" s="13" t="s">
        <v>389</v>
      </c>
      <c r="E263" s="11" t="s">
        <v>50</v>
      </c>
      <c r="F263" s="11" t="s">
        <v>380</v>
      </c>
      <c r="G263" s="11" t="s">
        <v>17</v>
      </c>
      <c r="H263" s="11">
        <v>0</v>
      </c>
      <c r="I263" s="11" t="s">
        <v>382</v>
      </c>
      <c r="J263" s="11">
        <v>1</v>
      </c>
      <c r="K263" s="7" t="str">
        <f t="shared" si="4"/>
        <v>C251</v>
      </c>
      <c r="L263" s="8"/>
      <c r="M263" s="9" t="str">
        <f t="shared" si="5"/>
        <v>SDP1521</v>
      </c>
      <c r="N263" s="9">
        <f t="shared" si="6"/>
        <v>7</v>
      </c>
      <c r="O263" s="9" t="str">
        <f t="shared" si="7"/>
        <v>P/1SDP1521</v>
      </c>
    </row>
    <row r="264" spans="1:15" ht="17.5" x14ac:dyDescent="0.55000000000000004">
      <c r="A264" s="12" t="s">
        <v>378</v>
      </c>
      <c r="B264" s="6" t="s">
        <v>47</v>
      </c>
      <c r="C264" s="6" t="s">
        <v>423</v>
      </c>
      <c r="D264" s="12" t="s">
        <v>418</v>
      </c>
      <c r="E264" s="6" t="s">
        <v>50</v>
      </c>
      <c r="F264" s="6" t="s">
        <v>380</v>
      </c>
      <c r="G264" s="6" t="s">
        <v>400</v>
      </c>
      <c r="H264" s="6">
        <v>20</v>
      </c>
      <c r="I264" s="6" t="s">
        <v>382</v>
      </c>
      <c r="J264" s="6">
        <v>2</v>
      </c>
      <c r="K264" s="7" t="str">
        <f t="shared" si="4"/>
        <v>C251</v>
      </c>
      <c r="L264" s="8"/>
      <c r="M264" s="9" t="str">
        <f t="shared" si="5"/>
        <v>SDP1527</v>
      </c>
      <c r="N264" s="9">
        <f t="shared" si="6"/>
        <v>7</v>
      </c>
      <c r="O264" s="9" t="str">
        <f t="shared" si="7"/>
        <v>P/1SDP1527</v>
      </c>
    </row>
    <row r="265" spans="1:15" ht="17.5" x14ac:dyDescent="0.55000000000000004">
      <c r="A265" s="13" t="s">
        <v>378</v>
      </c>
      <c r="B265" s="11" t="s">
        <v>47</v>
      </c>
      <c r="C265" s="11" t="s">
        <v>423</v>
      </c>
      <c r="D265" s="13" t="s">
        <v>403</v>
      </c>
      <c r="E265" s="11" t="s">
        <v>50</v>
      </c>
      <c r="F265" s="11" t="s">
        <v>404</v>
      </c>
      <c r="G265" s="11" t="s">
        <v>388</v>
      </c>
      <c r="H265" s="11">
        <v>20</v>
      </c>
      <c r="I265" s="11" t="s">
        <v>382</v>
      </c>
      <c r="J265" s="11">
        <v>2</v>
      </c>
      <c r="K265" s="7" t="str">
        <f t="shared" si="4"/>
        <v>C251</v>
      </c>
      <c r="L265" s="8"/>
      <c r="M265" s="9" t="str">
        <f t="shared" si="5"/>
        <v>SDP1636</v>
      </c>
      <c r="N265" s="9">
        <f t="shared" si="6"/>
        <v>7</v>
      </c>
      <c r="O265" s="9" t="str">
        <f t="shared" si="7"/>
        <v>P/1SDP1636</v>
      </c>
    </row>
    <row r="266" spans="1:15" ht="17.5" x14ac:dyDescent="0.55000000000000004">
      <c r="A266" s="12" t="s">
        <v>378</v>
      </c>
      <c r="B266" s="6" t="s">
        <v>47</v>
      </c>
      <c r="C266" s="6" t="s">
        <v>385</v>
      </c>
      <c r="D266" s="12" t="s">
        <v>424</v>
      </c>
      <c r="E266" s="6" t="s">
        <v>16</v>
      </c>
      <c r="F266" s="6" t="s">
        <v>394</v>
      </c>
      <c r="G266" s="6" t="s">
        <v>17</v>
      </c>
      <c r="H266" s="6">
        <v>0</v>
      </c>
      <c r="I266" s="6" t="s">
        <v>382</v>
      </c>
      <c r="J266" s="6">
        <v>2</v>
      </c>
      <c r="K266" s="7" t="str">
        <f t="shared" si="4"/>
        <v>C251</v>
      </c>
      <c r="L266" s="8"/>
      <c r="M266" s="9" t="str">
        <f t="shared" si="5"/>
        <v>SDP1514</v>
      </c>
      <c r="N266" s="9">
        <f t="shared" si="6"/>
        <v>7</v>
      </c>
      <c r="O266" s="9" t="str">
        <f t="shared" si="7"/>
        <v>K/1SDP1514</v>
      </c>
    </row>
    <row r="267" spans="1:15" ht="17.5" x14ac:dyDescent="0.55000000000000004">
      <c r="A267" s="13" t="s">
        <v>378</v>
      </c>
      <c r="B267" s="11" t="s">
        <v>47</v>
      </c>
      <c r="C267" s="11" t="s">
        <v>49</v>
      </c>
      <c r="D267" s="13" t="s">
        <v>419</v>
      </c>
      <c r="E267" s="11" t="s">
        <v>50</v>
      </c>
      <c r="F267" s="11" t="s">
        <v>420</v>
      </c>
      <c r="G267" s="11" t="s">
        <v>381</v>
      </c>
      <c r="H267" s="11">
        <v>20</v>
      </c>
      <c r="I267" s="11" t="s">
        <v>382</v>
      </c>
      <c r="J267" s="11">
        <v>1</v>
      </c>
      <c r="K267" s="7" t="str">
        <f t="shared" si="4"/>
        <v>C251</v>
      </c>
      <c r="L267" s="8"/>
      <c r="M267" s="9" t="str">
        <f t="shared" si="5"/>
        <v>SDP1503</v>
      </c>
      <c r="N267" s="9">
        <f t="shared" si="6"/>
        <v>7</v>
      </c>
      <c r="O267" s="9" t="str">
        <f t="shared" si="7"/>
        <v>P/1SDP1503</v>
      </c>
    </row>
    <row r="268" spans="1:15" ht="17.5" x14ac:dyDescent="0.55000000000000004">
      <c r="A268" s="12" t="s">
        <v>378</v>
      </c>
      <c r="B268" s="6" t="s">
        <v>47</v>
      </c>
      <c r="C268" s="6" t="s">
        <v>49</v>
      </c>
      <c r="D268" s="12" t="s">
        <v>416</v>
      </c>
      <c r="E268" s="6" t="s">
        <v>50</v>
      </c>
      <c r="F268" s="6" t="s">
        <v>417</v>
      </c>
      <c r="G268" s="6" t="s">
        <v>17</v>
      </c>
      <c r="H268" s="6">
        <v>0</v>
      </c>
      <c r="I268" s="6" t="s">
        <v>406</v>
      </c>
      <c r="J268" s="6">
        <v>2</v>
      </c>
      <c r="K268" s="7" t="str">
        <f t="shared" si="4"/>
        <v>C251</v>
      </c>
      <c r="L268" s="8"/>
      <c r="M268" s="9" t="str">
        <f t="shared" si="5"/>
        <v>SDP1631</v>
      </c>
      <c r="N268" s="9">
        <f t="shared" si="6"/>
        <v>7</v>
      </c>
      <c r="O268" s="9" t="str">
        <f t="shared" si="7"/>
        <v>P/1SDP1631</v>
      </c>
    </row>
    <row r="269" spans="1:15" ht="17.5" x14ac:dyDescent="0.55000000000000004">
      <c r="A269" s="13" t="s">
        <v>378</v>
      </c>
      <c r="B269" s="11" t="s">
        <v>47</v>
      </c>
      <c r="C269" s="11" t="s">
        <v>224</v>
      </c>
      <c r="D269" s="13" t="s">
        <v>398</v>
      </c>
      <c r="E269" s="11" t="s">
        <v>50</v>
      </c>
      <c r="F269" s="11" t="s">
        <v>399</v>
      </c>
      <c r="G269" s="11" t="s">
        <v>17</v>
      </c>
      <c r="H269" s="11">
        <v>0</v>
      </c>
      <c r="I269" s="11" t="s">
        <v>382</v>
      </c>
      <c r="J269" s="11">
        <v>2</v>
      </c>
      <c r="K269" s="7" t="str">
        <f t="shared" si="4"/>
        <v>C251</v>
      </c>
      <c r="L269" s="8"/>
      <c r="M269" s="9" t="str">
        <f t="shared" si="5"/>
        <v>SDP1512</v>
      </c>
      <c r="N269" s="9">
        <f t="shared" si="6"/>
        <v>7</v>
      </c>
      <c r="O269" s="9" t="str">
        <f t="shared" si="7"/>
        <v>P/1SDP1512</v>
      </c>
    </row>
    <row r="270" spans="1:15" ht="17.5" x14ac:dyDescent="0.55000000000000004">
      <c r="A270" s="12" t="s">
        <v>378</v>
      </c>
      <c r="B270" s="6" t="s">
        <v>47</v>
      </c>
      <c r="C270" s="6" t="s">
        <v>415</v>
      </c>
      <c r="D270" s="12" t="s">
        <v>425</v>
      </c>
      <c r="E270" s="6" t="s">
        <v>16</v>
      </c>
      <c r="F270" s="6" t="s">
        <v>399</v>
      </c>
      <c r="G270" s="6" t="s">
        <v>17</v>
      </c>
      <c r="H270" s="6">
        <v>0</v>
      </c>
      <c r="I270" s="6" t="s">
        <v>382</v>
      </c>
      <c r="J270" s="6">
        <v>2</v>
      </c>
      <c r="K270" s="7" t="str">
        <f t="shared" si="4"/>
        <v>C251</v>
      </c>
      <c r="L270" s="8"/>
      <c r="M270" s="9" t="str">
        <f t="shared" si="5"/>
        <v>SDP1611</v>
      </c>
      <c r="N270" s="9">
        <f t="shared" si="6"/>
        <v>7</v>
      </c>
      <c r="O270" s="9" t="str">
        <f t="shared" si="7"/>
        <v>K/1SDP1611</v>
      </c>
    </row>
    <row r="271" spans="1:15" ht="17.5" x14ac:dyDescent="0.55000000000000004">
      <c r="A271" s="13" t="s">
        <v>378</v>
      </c>
      <c r="B271" s="11" t="s">
        <v>47</v>
      </c>
      <c r="C271" s="11" t="s">
        <v>138</v>
      </c>
      <c r="D271" s="13" t="s">
        <v>421</v>
      </c>
      <c r="E271" s="11" t="s">
        <v>50</v>
      </c>
      <c r="F271" s="11" t="s">
        <v>422</v>
      </c>
      <c r="G271" s="11" t="s">
        <v>17</v>
      </c>
      <c r="H271" s="11">
        <v>0</v>
      </c>
      <c r="I271" s="11" t="s">
        <v>406</v>
      </c>
      <c r="J271" s="11">
        <v>2</v>
      </c>
      <c r="K271" s="7" t="str">
        <f t="shared" si="4"/>
        <v>C251</v>
      </c>
      <c r="L271" s="8"/>
      <c r="M271" s="9" t="str">
        <f t="shared" si="5"/>
        <v>SDP1633</v>
      </c>
      <c r="N271" s="9">
        <f t="shared" si="6"/>
        <v>7</v>
      </c>
      <c r="O271" s="9" t="str">
        <f t="shared" si="7"/>
        <v>P/1SDP1633</v>
      </c>
    </row>
    <row r="272" spans="1:15" ht="17.5" x14ac:dyDescent="0.55000000000000004">
      <c r="A272" s="12" t="s">
        <v>378</v>
      </c>
      <c r="B272" s="6" t="s">
        <v>52</v>
      </c>
      <c r="C272" s="6" t="s">
        <v>92</v>
      </c>
      <c r="D272" s="12" t="s">
        <v>424</v>
      </c>
      <c r="E272" s="6" t="s">
        <v>50</v>
      </c>
      <c r="F272" s="6" t="s">
        <v>394</v>
      </c>
      <c r="G272" s="6" t="s">
        <v>17</v>
      </c>
      <c r="H272" s="6">
        <v>0</v>
      </c>
      <c r="I272" s="6" t="s">
        <v>382</v>
      </c>
      <c r="J272" s="6">
        <v>2</v>
      </c>
      <c r="K272" s="7" t="str">
        <f t="shared" si="4"/>
        <v>C251</v>
      </c>
      <c r="L272" s="8"/>
      <c r="M272" s="9" t="str">
        <f t="shared" si="5"/>
        <v>SDP1514</v>
      </c>
      <c r="N272" s="9">
        <f t="shared" si="6"/>
        <v>7</v>
      </c>
      <c r="O272" s="9" t="str">
        <f t="shared" si="7"/>
        <v>P/1SDP1514</v>
      </c>
    </row>
    <row r="273" spans="1:15" ht="17.5" x14ac:dyDescent="0.55000000000000004">
      <c r="A273" s="13" t="s">
        <v>378</v>
      </c>
      <c r="B273" s="11" t="s">
        <v>52</v>
      </c>
      <c r="C273" s="11" t="s">
        <v>426</v>
      </c>
      <c r="D273" s="13" t="s">
        <v>396</v>
      </c>
      <c r="E273" s="11" t="s">
        <v>50</v>
      </c>
      <c r="F273" s="11" t="s">
        <v>380</v>
      </c>
      <c r="G273" s="11" t="s">
        <v>381</v>
      </c>
      <c r="H273" s="11">
        <v>20</v>
      </c>
      <c r="I273" s="11" t="s">
        <v>382</v>
      </c>
      <c r="J273" s="11">
        <v>1</v>
      </c>
      <c r="K273" s="7" t="str">
        <f t="shared" si="4"/>
        <v>C251</v>
      </c>
      <c r="L273" s="8"/>
      <c r="M273" s="9" t="str">
        <f t="shared" si="5"/>
        <v>SDP1501</v>
      </c>
      <c r="N273" s="9">
        <f t="shared" si="6"/>
        <v>7</v>
      </c>
      <c r="O273" s="9" t="str">
        <f t="shared" si="7"/>
        <v>P/1SDP1501</v>
      </c>
    </row>
    <row r="274" spans="1:15" ht="17.5" x14ac:dyDescent="0.55000000000000004">
      <c r="A274" s="12" t="s">
        <v>378</v>
      </c>
      <c r="B274" s="6" t="s">
        <v>52</v>
      </c>
      <c r="C274" s="6" t="s">
        <v>49</v>
      </c>
      <c r="D274" s="12" t="s">
        <v>405</v>
      </c>
      <c r="E274" s="6" t="s">
        <v>50</v>
      </c>
      <c r="F274" s="6" t="s">
        <v>394</v>
      </c>
      <c r="G274" s="6" t="s">
        <v>17</v>
      </c>
      <c r="H274" s="6">
        <v>0</v>
      </c>
      <c r="I274" s="6" t="s">
        <v>406</v>
      </c>
      <c r="J274" s="6">
        <v>2</v>
      </c>
      <c r="K274" s="7" t="str">
        <f t="shared" si="4"/>
        <v>C251</v>
      </c>
      <c r="L274" s="8"/>
      <c r="M274" s="9" t="str">
        <f t="shared" si="5"/>
        <v>SDP1615</v>
      </c>
      <c r="N274" s="9">
        <f t="shared" si="6"/>
        <v>7</v>
      </c>
      <c r="O274" s="9" t="str">
        <f t="shared" si="7"/>
        <v>P/1SDP1615</v>
      </c>
    </row>
    <row r="275" spans="1:15" ht="17.5" x14ac:dyDescent="0.55000000000000004">
      <c r="A275" s="13" t="s">
        <v>378</v>
      </c>
      <c r="B275" s="11" t="s">
        <v>52</v>
      </c>
      <c r="C275" s="11" t="s">
        <v>224</v>
      </c>
      <c r="D275" s="13" t="s">
        <v>413</v>
      </c>
      <c r="E275" s="11" t="s">
        <v>50</v>
      </c>
      <c r="F275" s="11" t="s">
        <v>409</v>
      </c>
      <c r="G275" s="11" t="s">
        <v>388</v>
      </c>
      <c r="H275" s="11">
        <v>20</v>
      </c>
      <c r="I275" s="11" t="s">
        <v>406</v>
      </c>
      <c r="J275" s="11">
        <v>2</v>
      </c>
      <c r="K275" s="7" t="str">
        <f t="shared" si="4"/>
        <v>C251</v>
      </c>
      <c r="L275" s="8"/>
      <c r="M275" s="9" t="str">
        <f t="shared" si="5"/>
        <v>SDP1622</v>
      </c>
      <c r="N275" s="9">
        <f t="shared" si="6"/>
        <v>7</v>
      </c>
      <c r="O275" s="9" t="str">
        <f t="shared" si="7"/>
        <v>P/1SDP1622</v>
      </c>
    </row>
    <row r="276" spans="1:15" ht="17.5" x14ac:dyDescent="0.55000000000000004">
      <c r="A276" s="12" t="s">
        <v>378</v>
      </c>
      <c r="B276" s="6" t="s">
        <v>52</v>
      </c>
      <c r="C276" s="6" t="s">
        <v>138</v>
      </c>
      <c r="D276" s="12" t="s">
        <v>411</v>
      </c>
      <c r="E276" s="6" t="s">
        <v>50</v>
      </c>
      <c r="F276" s="6" t="s">
        <v>412</v>
      </c>
      <c r="G276" s="6" t="s">
        <v>392</v>
      </c>
      <c r="H276" s="6">
        <v>20</v>
      </c>
      <c r="I276" s="6" t="s">
        <v>382</v>
      </c>
      <c r="J276" s="6">
        <v>2</v>
      </c>
      <c r="K276" s="7" t="str">
        <f t="shared" si="4"/>
        <v>C251</v>
      </c>
      <c r="L276" s="8"/>
      <c r="M276" s="9" t="str">
        <f t="shared" si="5"/>
        <v>SDP1513</v>
      </c>
      <c r="N276" s="9">
        <f t="shared" si="6"/>
        <v>7</v>
      </c>
      <c r="O276" s="9" t="str">
        <f t="shared" si="7"/>
        <v>P/1SDP1513</v>
      </c>
    </row>
    <row r="277" spans="1:15" ht="17.5" x14ac:dyDescent="0.55000000000000004">
      <c r="A277" s="13" t="s">
        <v>378</v>
      </c>
      <c r="B277" s="11" t="s">
        <v>52</v>
      </c>
      <c r="C277" s="11" t="s">
        <v>138</v>
      </c>
      <c r="D277" s="13" t="s">
        <v>425</v>
      </c>
      <c r="E277" s="11" t="s">
        <v>50</v>
      </c>
      <c r="F277" s="11" t="s">
        <v>399</v>
      </c>
      <c r="G277" s="11" t="s">
        <v>410</v>
      </c>
      <c r="H277" s="11">
        <v>20</v>
      </c>
      <c r="I277" s="11" t="s">
        <v>382</v>
      </c>
      <c r="J277" s="11">
        <v>2</v>
      </c>
      <c r="K277" s="7" t="str">
        <f t="shared" si="4"/>
        <v>C251</v>
      </c>
      <c r="L277" s="8"/>
      <c r="M277" s="9" t="str">
        <f t="shared" si="5"/>
        <v>SDP1611</v>
      </c>
      <c r="N277" s="9">
        <f t="shared" si="6"/>
        <v>7</v>
      </c>
      <c r="O277" s="9" t="str">
        <f t="shared" si="7"/>
        <v>P/1SDP1611</v>
      </c>
    </row>
    <row r="278" spans="1:15" ht="17.5" x14ac:dyDescent="0.55000000000000004">
      <c r="A278" s="12" t="s">
        <v>427</v>
      </c>
      <c r="B278" s="6" t="s">
        <v>13</v>
      </c>
      <c r="C278" s="6" t="s">
        <v>239</v>
      </c>
      <c r="D278" s="12" t="s">
        <v>428</v>
      </c>
      <c r="E278" s="6" t="s">
        <v>16</v>
      </c>
      <c r="F278" s="6" t="s">
        <v>420</v>
      </c>
      <c r="G278" s="6" t="s">
        <v>410</v>
      </c>
      <c r="H278" s="6">
        <v>20</v>
      </c>
      <c r="I278" s="6" t="s">
        <v>429</v>
      </c>
      <c r="J278" s="6">
        <v>2</v>
      </c>
      <c r="K278" s="7" t="str">
        <f t="shared" si="4"/>
        <v>C252</v>
      </c>
      <c r="L278" s="8"/>
      <c r="M278" s="9" t="str">
        <f t="shared" si="5"/>
        <v>SPL1613</v>
      </c>
      <c r="N278" s="9">
        <f t="shared" si="6"/>
        <v>7</v>
      </c>
      <c r="O278" s="9" t="str">
        <f t="shared" si="7"/>
        <v>K/1SPL1613</v>
      </c>
    </row>
    <row r="279" spans="1:15" ht="17.5" x14ac:dyDescent="0.55000000000000004">
      <c r="A279" s="10" t="s">
        <v>427</v>
      </c>
      <c r="B279" s="11" t="s">
        <v>13</v>
      </c>
      <c r="C279" s="11" t="s">
        <v>14</v>
      </c>
      <c r="D279" s="13" t="s">
        <v>430</v>
      </c>
      <c r="E279" s="11" t="s">
        <v>16</v>
      </c>
      <c r="F279" s="11" t="s">
        <v>431</v>
      </c>
      <c r="G279" s="11" t="s">
        <v>410</v>
      </c>
      <c r="H279" s="11">
        <v>20</v>
      </c>
      <c r="I279" s="11" t="s">
        <v>432</v>
      </c>
      <c r="J279" s="11">
        <v>2</v>
      </c>
      <c r="K279" s="7" t="str">
        <f t="shared" si="4"/>
        <v>C252</v>
      </c>
      <c r="L279" s="8"/>
      <c r="M279" s="9" t="str">
        <f t="shared" si="5"/>
        <v>SPL1637</v>
      </c>
      <c r="N279" s="9">
        <f t="shared" si="6"/>
        <v>7</v>
      </c>
      <c r="O279" s="9" t="str">
        <f t="shared" si="7"/>
        <v>K/1SPL1637</v>
      </c>
    </row>
    <row r="280" spans="1:15" ht="17.5" x14ac:dyDescent="0.55000000000000004">
      <c r="A280" s="5" t="s">
        <v>427</v>
      </c>
      <c r="B280" s="6" t="s">
        <v>13</v>
      </c>
      <c r="C280" s="6" t="s">
        <v>25</v>
      </c>
      <c r="D280" s="12" t="s">
        <v>433</v>
      </c>
      <c r="E280" s="6" t="s">
        <v>16</v>
      </c>
      <c r="F280" s="6" t="s">
        <v>434</v>
      </c>
      <c r="G280" s="6" t="s">
        <v>400</v>
      </c>
      <c r="H280" s="6">
        <v>20</v>
      </c>
      <c r="I280" s="6" t="s">
        <v>432</v>
      </c>
      <c r="J280" s="6">
        <v>1</v>
      </c>
      <c r="K280" s="7" t="str">
        <f t="shared" si="4"/>
        <v>C252</v>
      </c>
      <c r="L280" s="8"/>
      <c r="M280" s="9" t="str">
        <f t="shared" si="5"/>
        <v>SPL1621</v>
      </c>
      <c r="N280" s="9">
        <f t="shared" si="6"/>
        <v>7</v>
      </c>
      <c r="O280" s="9" t="str">
        <f t="shared" si="7"/>
        <v>K/1SPL1621</v>
      </c>
    </row>
    <row r="281" spans="1:15" ht="17.5" x14ac:dyDescent="0.55000000000000004">
      <c r="A281" s="10" t="s">
        <v>427</v>
      </c>
      <c r="B281" s="11" t="s">
        <v>13</v>
      </c>
      <c r="C281" s="11" t="s">
        <v>25</v>
      </c>
      <c r="D281" s="13" t="s">
        <v>435</v>
      </c>
      <c r="E281" s="11" t="s">
        <v>16</v>
      </c>
      <c r="F281" s="11" t="s">
        <v>431</v>
      </c>
      <c r="G281" s="11" t="s">
        <v>410</v>
      </c>
      <c r="H281" s="11">
        <v>20</v>
      </c>
      <c r="I281" s="11" t="s">
        <v>429</v>
      </c>
      <c r="J281" s="11">
        <v>2</v>
      </c>
      <c r="K281" s="7" t="str">
        <f t="shared" si="4"/>
        <v>C252</v>
      </c>
      <c r="L281" s="8"/>
      <c r="M281" s="9" t="str">
        <f t="shared" si="5"/>
        <v>SPL1638</v>
      </c>
      <c r="N281" s="9">
        <f t="shared" si="6"/>
        <v>7</v>
      </c>
      <c r="O281" s="9" t="str">
        <f t="shared" si="7"/>
        <v>K/1SPL1638</v>
      </c>
    </row>
    <row r="282" spans="1:15" ht="17.5" x14ac:dyDescent="0.55000000000000004">
      <c r="A282" s="5" t="s">
        <v>427</v>
      </c>
      <c r="B282" s="6" t="s">
        <v>13</v>
      </c>
      <c r="C282" s="6" t="s">
        <v>64</v>
      </c>
      <c r="D282" s="12" t="s">
        <v>436</v>
      </c>
      <c r="E282" s="6" t="s">
        <v>16</v>
      </c>
      <c r="F282" s="6" t="s">
        <v>434</v>
      </c>
      <c r="G282" s="6" t="s">
        <v>410</v>
      </c>
      <c r="H282" s="6">
        <v>20</v>
      </c>
      <c r="I282" s="6" t="s">
        <v>432</v>
      </c>
      <c r="J282" s="6">
        <v>2</v>
      </c>
      <c r="K282" s="7" t="str">
        <f t="shared" si="4"/>
        <v>C252</v>
      </c>
      <c r="L282" s="8"/>
      <c r="M282" s="9" t="str">
        <f t="shared" si="5"/>
        <v>SPL1624</v>
      </c>
      <c r="N282" s="9">
        <f t="shared" si="6"/>
        <v>7</v>
      </c>
      <c r="O282" s="9" t="str">
        <f t="shared" si="7"/>
        <v>K/1SPL1624</v>
      </c>
    </row>
    <row r="283" spans="1:15" ht="17.5" x14ac:dyDescent="0.55000000000000004">
      <c r="A283" s="10" t="s">
        <v>427</v>
      </c>
      <c r="B283" s="11" t="s">
        <v>13</v>
      </c>
      <c r="C283" s="11" t="s">
        <v>415</v>
      </c>
      <c r="D283" s="13" t="s">
        <v>437</v>
      </c>
      <c r="E283" s="11" t="s">
        <v>16</v>
      </c>
      <c r="F283" s="11" t="s">
        <v>438</v>
      </c>
      <c r="G283" s="11" t="s">
        <v>410</v>
      </c>
      <c r="H283" s="11">
        <v>20</v>
      </c>
      <c r="I283" s="11" t="s">
        <v>432</v>
      </c>
      <c r="J283" s="11">
        <v>2</v>
      </c>
      <c r="K283" s="7" t="str">
        <f t="shared" si="4"/>
        <v>C252</v>
      </c>
      <c r="L283" s="8"/>
      <c r="M283" s="9" t="str">
        <f t="shared" si="5"/>
        <v>SPL1611</v>
      </c>
      <c r="N283" s="9">
        <f t="shared" si="6"/>
        <v>7</v>
      </c>
      <c r="O283" s="9" t="str">
        <f t="shared" si="7"/>
        <v>K/1SPL1611</v>
      </c>
    </row>
    <row r="284" spans="1:15" ht="17.5" x14ac:dyDescent="0.55000000000000004">
      <c r="A284" s="5" t="s">
        <v>427</v>
      </c>
      <c r="B284" s="6" t="s">
        <v>13</v>
      </c>
      <c r="C284" s="6" t="s">
        <v>101</v>
      </c>
      <c r="D284" s="12" t="s">
        <v>439</v>
      </c>
      <c r="E284" s="6" t="s">
        <v>16</v>
      </c>
      <c r="F284" s="6" t="s">
        <v>440</v>
      </c>
      <c r="G284" s="6" t="s">
        <v>441</v>
      </c>
      <c r="H284" s="6">
        <v>20</v>
      </c>
      <c r="I284" s="6" t="s">
        <v>432</v>
      </c>
      <c r="J284" s="6">
        <v>1</v>
      </c>
      <c r="K284" s="7" t="str">
        <f t="shared" si="4"/>
        <v>C252</v>
      </c>
      <c r="L284" s="8"/>
      <c r="M284" s="9" t="str">
        <f t="shared" si="5"/>
        <v>SPL1501</v>
      </c>
      <c r="N284" s="9">
        <f t="shared" si="6"/>
        <v>7</v>
      </c>
      <c r="O284" s="9" t="str">
        <f t="shared" si="7"/>
        <v>K/1SPL1501</v>
      </c>
    </row>
    <row r="285" spans="1:15" ht="17.5" x14ac:dyDescent="0.55000000000000004">
      <c r="A285" s="10" t="s">
        <v>427</v>
      </c>
      <c r="B285" s="11" t="s">
        <v>31</v>
      </c>
      <c r="C285" s="11" t="s">
        <v>132</v>
      </c>
      <c r="D285" s="13" t="s">
        <v>442</v>
      </c>
      <c r="E285" s="11" t="s">
        <v>16</v>
      </c>
      <c r="F285" s="11" t="s">
        <v>438</v>
      </c>
      <c r="G285" s="11" t="s">
        <v>400</v>
      </c>
      <c r="H285" s="11">
        <v>20</v>
      </c>
      <c r="I285" s="11" t="s">
        <v>432</v>
      </c>
      <c r="J285" s="11">
        <v>2</v>
      </c>
      <c r="K285" s="7" t="str">
        <f t="shared" si="4"/>
        <v>C252</v>
      </c>
      <c r="L285" s="8"/>
      <c r="M285" s="9" t="str">
        <f t="shared" si="5"/>
        <v>SPL1612</v>
      </c>
      <c r="N285" s="9">
        <f t="shared" si="6"/>
        <v>7</v>
      </c>
      <c r="O285" s="9" t="str">
        <f t="shared" si="7"/>
        <v>K/1SPL1612</v>
      </c>
    </row>
    <row r="286" spans="1:15" ht="17.5" x14ac:dyDescent="0.55000000000000004">
      <c r="A286" s="5" t="s">
        <v>427</v>
      </c>
      <c r="B286" s="6" t="s">
        <v>31</v>
      </c>
      <c r="C286" s="6" t="s">
        <v>261</v>
      </c>
      <c r="D286" s="12" t="s">
        <v>443</v>
      </c>
      <c r="E286" s="6" t="s">
        <v>16</v>
      </c>
      <c r="F286" s="6" t="s">
        <v>431</v>
      </c>
      <c r="G286" s="6" t="s">
        <v>410</v>
      </c>
      <c r="H286" s="6">
        <v>20</v>
      </c>
      <c r="I286" s="6" t="s">
        <v>432</v>
      </c>
      <c r="J286" s="6">
        <v>2</v>
      </c>
      <c r="K286" s="7" t="str">
        <f t="shared" si="4"/>
        <v>C252</v>
      </c>
      <c r="L286" s="8"/>
      <c r="M286" s="9" t="str">
        <f t="shared" si="5"/>
        <v>SPL1639</v>
      </c>
      <c r="N286" s="9">
        <f t="shared" si="6"/>
        <v>7</v>
      </c>
      <c r="O286" s="9" t="str">
        <f t="shared" si="7"/>
        <v>K/1SPL1639</v>
      </c>
    </row>
    <row r="287" spans="1:15" ht="17.5" x14ac:dyDescent="0.55000000000000004">
      <c r="A287" s="10" t="s">
        <v>427</v>
      </c>
      <c r="B287" s="11" t="s">
        <v>31</v>
      </c>
      <c r="C287" s="11" t="s">
        <v>191</v>
      </c>
      <c r="D287" s="13" t="s">
        <v>444</v>
      </c>
      <c r="E287" s="11" t="s">
        <v>16</v>
      </c>
      <c r="F287" s="11" t="s">
        <v>431</v>
      </c>
      <c r="G287" s="11" t="s">
        <v>410</v>
      </c>
      <c r="H287" s="11">
        <v>20</v>
      </c>
      <c r="I287" s="11" t="s">
        <v>429</v>
      </c>
      <c r="J287" s="11">
        <v>2</v>
      </c>
      <c r="K287" s="7" t="str">
        <f t="shared" si="4"/>
        <v>C252</v>
      </c>
      <c r="L287" s="8"/>
      <c r="M287" s="9" t="str">
        <f t="shared" si="5"/>
        <v>SPL1636</v>
      </c>
      <c r="N287" s="9">
        <f t="shared" si="6"/>
        <v>7</v>
      </c>
      <c r="O287" s="9" t="str">
        <f t="shared" si="7"/>
        <v>K/1SPL1636</v>
      </c>
    </row>
    <row r="288" spans="1:15" ht="17.5" x14ac:dyDescent="0.55000000000000004">
      <c r="A288" s="5" t="s">
        <v>427</v>
      </c>
      <c r="B288" s="6" t="s">
        <v>31</v>
      </c>
      <c r="C288" s="6" t="s">
        <v>64</v>
      </c>
      <c r="D288" s="12" t="s">
        <v>445</v>
      </c>
      <c r="E288" s="6" t="s">
        <v>16</v>
      </c>
      <c r="F288" s="6" t="s">
        <v>431</v>
      </c>
      <c r="G288" s="6" t="s">
        <v>410</v>
      </c>
      <c r="H288" s="6">
        <v>20</v>
      </c>
      <c r="I288" s="6" t="s">
        <v>432</v>
      </c>
      <c r="J288" s="6">
        <v>1</v>
      </c>
      <c r="K288" s="7" t="str">
        <f t="shared" si="4"/>
        <v>C252</v>
      </c>
      <c r="L288" s="8"/>
      <c r="M288" s="9" t="str">
        <f t="shared" si="5"/>
        <v>SPL1631</v>
      </c>
      <c r="N288" s="9">
        <f t="shared" si="6"/>
        <v>7</v>
      </c>
      <c r="O288" s="9" t="str">
        <f t="shared" si="7"/>
        <v>K/1SPL1631</v>
      </c>
    </row>
    <row r="289" spans="1:15" ht="17.5" x14ac:dyDescent="0.55000000000000004">
      <c r="A289" s="10" t="s">
        <v>427</v>
      </c>
      <c r="B289" s="11" t="s">
        <v>41</v>
      </c>
      <c r="C289" s="11" t="s">
        <v>295</v>
      </c>
      <c r="D289" s="13" t="s">
        <v>446</v>
      </c>
      <c r="E289" s="11" t="s">
        <v>447</v>
      </c>
      <c r="F289" s="11" t="s">
        <v>448</v>
      </c>
      <c r="G289" s="11" t="s">
        <v>449</v>
      </c>
      <c r="H289" s="11">
        <v>50</v>
      </c>
      <c r="I289" s="11" t="s">
        <v>450</v>
      </c>
      <c r="J289" s="11">
        <v>2</v>
      </c>
      <c r="K289" s="7" t="str">
        <f t="shared" si="4"/>
        <v>C252</v>
      </c>
      <c r="L289" s="8"/>
      <c r="M289" s="9" t="str">
        <f t="shared" si="5"/>
        <v>STA1512</v>
      </c>
      <c r="N289" s="9">
        <f t="shared" si="6"/>
        <v>7</v>
      </c>
      <c r="O289" s="9" t="str">
        <f t="shared" si="7"/>
        <v>K/4STA1512</v>
      </c>
    </row>
    <row r="290" spans="1:15" ht="17.5" x14ac:dyDescent="0.55000000000000004">
      <c r="A290" s="5" t="s">
        <v>427</v>
      </c>
      <c r="B290" s="6" t="s">
        <v>41</v>
      </c>
      <c r="C290" s="6" t="s">
        <v>64</v>
      </c>
      <c r="D290" s="12" t="s">
        <v>451</v>
      </c>
      <c r="E290" s="6" t="s">
        <v>16</v>
      </c>
      <c r="F290" s="6" t="s">
        <v>422</v>
      </c>
      <c r="G290" s="6" t="s">
        <v>17</v>
      </c>
      <c r="H290" s="6">
        <v>0</v>
      </c>
      <c r="I290" s="6" t="s">
        <v>432</v>
      </c>
      <c r="J290" s="6">
        <v>2</v>
      </c>
      <c r="K290" s="7" t="str">
        <f t="shared" si="4"/>
        <v>C252</v>
      </c>
      <c r="L290" s="8"/>
      <c r="M290" s="9" t="str">
        <f t="shared" si="5"/>
        <v>SPL163A</v>
      </c>
      <c r="N290" s="9">
        <f t="shared" si="6"/>
        <v>7</v>
      </c>
      <c r="O290" s="9" t="str">
        <f t="shared" si="7"/>
        <v>K/1SPL163A</v>
      </c>
    </row>
    <row r="291" spans="1:15" ht="17.5" x14ac:dyDescent="0.55000000000000004">
      <c r="A291" s="10" t="s">
        <v>427</v>
      </c>
      <c r="B291" s="11" t="s">
        <v>41</v>
      </c>
      <c r="C291" s="11" t="s">
        <v>256</v>
      </c>
      <c r="D291" s="13" t="s">
        <v>446</v>
      </c>
      <c r="E291" s="11" t="s">
        <v>452</v>
      </c>
      <c r="F291" s="11" t="s">
        <v>448</v>
      </c>
      <c r="G291" s="11" t="s">
        <v>449</v>
      </c>
      <c r="H291" s="11">
        <v>50</v>
      </c>
      <c r="I291" s="11" t="s">
        <v>450</v>
      </c>
      <c r="J291" s="11">
        <v>2</v>
      </c>
      <c r="K291" s="7" t="str">
        <f t="shared" si="4"/>
        <v>C252</v>
      </c>
      <c r="L291" s="8"/>
      <c r="M291" s="9" t="str">
        <f t="shared" si="5"/>
        <v>STA1512</v>
      </c>
      <c r="N291" s="9">
        <f t="shared" si="6"/>
        <v>7</v>
      </c>
      <c r="O291" s="9" t="str">
        <f t="shared" si="7"/>
        <v>P/4STA1512</v>
      </c>
    </row>
    <row r="292" spans="1:15" ht="17.5" x14ac:dyDescent="0.55000000000000004">
      <c r="A292" s="5" t="s">
        <v>427</v>
      </c>
      <c r="B292" s="6" t="s">
        <v>41</v>
      </c>
      <c r="C292" s="6" t="s">
        <v>138</v>
      </c>
      <c r="D292" s="12" t="s">
        <v>443</v>
      </c>
      <c r="E292" s="6" t="s">
        <v>50</v>
      </c>
      <c r="F292" s="6" t="s">
        <v>431</v>
      </c>
      <c r="G292" s="6" t="s">
        <v>410</v>
      </c>
      <c r="H292" s="6">
        <v>20</v>
      </c>
      <c r="I292" s="6" t="s">
        <v>432</v>
      </c>
      <c r="J292" s="6">
        <v>2</v>
      </c>
      <c r="K292" s="7" t="str">
        <f t="shared" si="4"/>
        <v>C252</v>
      </c>
      <c r="L292" s="8"/>
      <c r="M292" s="9" t="str">
        <f t="shared" si="5"/>
        <v>SPL1639</v>
      </c>
      <c r="N292" s="9">
        <f t="shared" si="6"/>
        <v>7</v>
      </c>
      <c r="O292" s="9" t="str">
        <f t="shared" si="7"/>
        <v>P/1SPL1639</v>
      </c>
    </row>
    <row r="293" spans="1:15" ht="17.5" x14ac:dyDescent="0.55000000000000004">
      <c r="A293" s="10" t="s">
        <v>427</v>
      </c>
      <c r="B293" s="11" t="s">
        <v>47</v>
      </c>
      <c r="C293" s="11" t="s">
        <v>132</v>
      </c>
      <c r="D293" s="13" t="s">
        <v>453</v>
      </c>
      <c r="E293" s="11" t="s">
        <v>16</v>
      </c>
      <c r="F293" s="11" t="s">
        <v>431</v>
      </c>
      <c r="G293" s="11" t="s">
        <v>17</v>
      </c>
      <c r="H293" s="11">
        <v>0</v>
      </c>
      <c r="I293" s="11" t="s">
        <v>432</v>
      </c>
      <c r="J293" s="11">
        <v>1</v>
      </c>
      <c r="K293" s="7" t="str">
        <f t="shared" si="4"/>
        <v>C252</v>
      </c>
      <c r="L293" s="8"/>
      <c r="M293" s="9" t="str">
        <f t="shared" si="5"/>
        <v>SPL1632</v>
      </c>
      <c r="N293" s="9">
        <f t="shared" si="6"/>
        <v>7</v>
      </c>
      <c r="O293" s="9" t="str">
        <f t="shared" si="7"/>
        <v>K/1SPL1632</v>
      </c>
    </row>
    <row r="294" spans="1:15" ht="17.5" x14ac:dyDescent="0.55000000000000004">
      <c r="A294" s="5" t="s">
        <v>427</v>
      </c>
      <c r="B294" s="6" t="s">
        <v>47</v>
      </c>
      <c r="C294" s="6" t="s">
        <v>191</v>
      </c>
      <c r="D294" s="12" t="s">
        <v>454</v>
      </c>
      <c r="E294" s="6" t="s">
        <v>16</v>
      </c>
      <c r="F294" s="6" t="s">
        <v>455</v>
      </c>
      <c r="G294" s="6" t="s">
        <v>410</v>
      </c>
      <c r="H294" s="6">
        <v>20</v>
      </c>
      <c r="I294" s="6" t="s">
        <v>429</v>
      </c>
      <c r="J294" s="6">
        <v>2</v>
      </c>
      <c r="K294" s="7" t="str">
        <f t="shared" si="4"/>
        <v>C252</v>
      </c>
      <c r="L294" s="8"/>
      <c r="M294" s="9" t="str">
        <f t="shared" si="5"/>
        <v>SPL1614</v>
      </c>
      <c r="N294" s="9">
        <f t="shared" si="6"/>
        <v>7</v>
      </c>
      <c r="O294" s="9" t="str">
        <f t="shared" si="7"/>
        <v>K/1SPL1614</v>
      </c>
    </row>
    <row r="295" spans="1:15" ht="17.5" x14ac:dyDescent="0.55000000000000004">
      <c r="A295" s="10" t="s">
        <v>427</v>
      </c>
      <c r="B295" s="11" t="s">
        <v>47</v>
      </c>
      <c r="C295" s="11" t="s">
        <v>423</v>
      </c>
      <c r="D295" s="13" t="s">
        <v>453</v>
      </c>
      <c r="E295" s="11" t="s">
        <v>50</v>
      </c>
      <c r="F295" s="11" t="s">
        <v>431</v>
      </c>
      <c r="G295" s="11" t="s">
        <v>17</v>
      </c>
      <c r="H295" s="11">
        <v>0</v>
      </c>
      <c r="I295" s="11" t="s">
        <v>432</v>
      </c>
      <c r="J295" s="11">
        <v>1</v>
      </c>
      <c r="K295" s="7" t="str">
        <f t="shared" si="4"/>
        <v>C252</v>
      </c>
      <c r="L295" s="8"/>
      <c r="M295" s="9" t="str">
        <f t="shared" si="5"/>
        <v>SPL1632</v>
      </c>
      <c r="N295" s="9">
        <f t="shared" si="6"/>
        <v>7</v>
      </c>
      <c r="O295" s="9" t="str">
        <f t="shared" si="7"/>
        <v>P/1SPL1632</v>
      </c>
    </row>
    <row r="296" spans="1:15" ht="17.5" x14ac:dyDescent="0.55000000000000004">
      <c r="A296" s="5" t="s">
        <v>427</v>
      </c>
      <c r="B296" s="6" t="s">
        <v>47</v>
      </c>
      <c r="C296" s="6" t="s">
        <v>64</v>
      </c>
      <c r="D296" s="12" t="s">
        <v>456</v>
      </c>
      <c r="E296" s="6" t="s">
        <v>16</v>
      </c>
      <c r="F296" s="6" t="s">
        <v>417</v>
      </c>
      <c r="G296" s="6" t="s">
        <v>17</v>
      </c>
      <c r="H296" s="6">
        <v>0</v>
      </c>
      <c r="I296" s="6" t="s">
        <v>429</v>
      </c>
      <c r="J296" s="6">
        <v>2</v>
      </c>
      <c r="K296" s="7" t="str">
        <f t="shared" si="4"/>
        <v>C252</v>
      </c>
      <c r="L296" s="8"/>
      <c r="M296" s="9" t="str">
        <f t="shared" si="5"/>
        <v>SPL1634</v>
      </c>
      <c r="N296" s="9">
        <f t="shared" si="6"/>
        <v>7</v>
      </c>
      <c r="O296" s="9" t="str">
        <f t="shared" si="7"/>
        <v>K/1SPL1634</v>
      </c>
    </row>
    <row r="297" spans="1:15" ht="17.5" x14ac:dyDescent="0.55000000000000004">
      <c r="A297" s="10" t="s">
        <v>427</v>
      </c>
      <c r="B297" s="11" t="s">
        <v>47</v>
      </c>
      <c r="C297" s="11" t="s">
        <v>64</v>
      </c>
      <c r="D297" s="13" t="s">
        <v>457</v>
      </c>
      <c r="E297" s="11" t="s">
        <v>16</v>
      </c>
      <c r="F297" s="11" t="s">
        <v>458</v>
      </c>
      <c r="G297" s="11" t="s">
        <v>410</v>
      </c>
      <c r="H297" s="11">
        <v>20</v>
      </c>
      <c r="I297" s="11" t="s">
        <v>429</v>
      </c>
      <c r="J297" s="11">
        <v>2</v>
      </c>
      <c r="K297" s="7" t="str">
        <f t="shared" si="4"/>
        <v>C252</v>
      </c>
      <c r="L297" s="8"/>
      <c r="M297" s="9" t="str">
        <f t="shared" si="5"/>
        <v>SPL1635</v>
      </c>
      <c r="N297" s="9">
        <f t="shared" si="6"/>
        <v>7</v>
      </c>
      <c r="O297" s="9" t="str">
        <f t="shared" si="7"/>
        <v>K/1SPL1635</v>
      </c>
    </row>
    <row r="298" spans="1:15" ht="17.5" x14ac:dyDescent="0.55000000000000004">
      <c r="A298" s="5" t="s">
        <v>427</v>
      </c>
      <c r="B298" s="6" t="s">
        <v>47</v>
      </c>
      <c r="C298" s="6" t="s">
        <v>49</v>
      </c>
      <c r="D298" s="12" t="s">
        <v>437</v>
      </c>
      <c r="E298" s="6" t="s">
        <v>50</v>
      </c>
      <c r="F298" s="6" t="s">
        <v>438</v>
      </c>
      <c r="G298" s="6" t="s">
        <v>400</v>
      </c>
      <c r="H298" s="6">
        <v>20</v>
      </c>
      <c r="I298" s="6" t="s">
        <v>432</v>
      </c>
      <c r="J298" s="6">
        <v>2</v>
      </c>
      <c r="K298" s="7" t="str">
        <f t="shared" si="4"/>
        <v>C252</v>
      </c>
      <c r="L298" s="8"/>
      <c r="M298" s="9" t="str">
        <f t="shared" si="5"/>
        <v>SPL1611</v>
      </c>
      <c r="N298" s="9">
        <f t="shared" si="6"/>
        <v>7</v>
      </c>
      <c r="O298" s="9" t="str">
        <f t="shared" si="7"/>
        <v>P/1SPL1611</v>
      </c>
    </row>
    <row r="299" spans="1:15" ht="17.5" x14ac:dyDescent="0.55000000000000004">
      <c r="A299" s="10" t="s">
        <v>427</v>
      </c>
      <c r="B299" s="11" t="s">
        <v>47</v>
      </c>
      <c r="C299" s="11" t="s">
        <v>101</v>
      </c>
      <c r="D299" s="13" t="s">
        <v>459</v>
      </c>
      <c r="E299" s="11" t="s">
        <v>16</v>
      </c>
      <c r="F299" s="11" t="s">
        <v>460</v>
      </c>
      <c r="G299" s="11" t="s">
        <v>410</v>
      </c>
      <c r="H299" s="11">
        <v>20</v>
      </c>
      <c r="I299" s="11" t="s">
        <v>429</v>
      </c>
      <c r="J299" s="11">
        <v>2</v>
      </c>
      <c r="K299" s="7" t="str">
        <f t="shared" si="4"/>
        <v>C252</v>
      </c>
      <c r="L299" s="8"/>
      <c r="M299" s="9" t="str">
        <f t="shared" si="5"/>
        <v>SPL1622</v>
      </c>
      <c r="N299" s="9">
        <f t="shared" si="6"/>
        <v>7</v>
      </c>
      <c r="O299" s="9" t="str">
        <f t="shared" si="7"/>
        <v>K/1SPL1622</v>
      </c>
    </row>
    <row r="300" spans="1:15" ht="17.5" x14ac:dyDescent="0.55000000000000004">
      <c r="A300" s="5" t="s">
        <v>427</v>
      </c>
      <c r="B300" s="6" t="s">
        <v>52</v>
      </c>
      <c r="C300" s="6" t="s">
        <v>92</v>
      </c>
      <c r="D300" s="12" t="s">
        <v>428</v>
      </c>
      <c r="E300" s="6" t="s">
        <v>50</v>
      </c>
      <c r="F300" s="6" t="s">
        <v>420</v>
      </c>
      <c r="G300" s="6" t="s">
        <v>410</v>
      </c>
      <c r="H300" s="6">
        <v>20</v>
      </c>
      <c r="I300" s="6" t="s">
        <v>429</v>
      </c>
      <c r="J300" s="6">
        <v>2</v>
      </c>
      <c r="K300" s="7" t="str">
        <f t="shared" si="4"/>
        <v>C252</v>
      </c>
      <c r="L300" s="8"/>
      <c r="M300" s="9" t="str">
        <f t="shared" si="5"/>
        <v>SPL1613</v>
      </c>
      <c r="N300" s="9">
        <f t="shared" si="6"/>
        <v>7</v>
      </c>
      <c r="O300" s="9" t="str">
        <f t="shared" si="7"/>
        <v>P/1SPL1613</v>
      </c>
    </row>
    <row r="301" spans="1:15" ht="17.5" x14ac:dyDescent="0.55000000000000004">
      <c r="A301" s="10" t="s">
        <v>427</v>
      </c>
      <c r="B301" s="11" t="s">
        <v>52</v>
      </c>
      <c r="C301" s="11" t="s">
        <v>426</v>
      </c>
      <c r="D301" s="13" t="s">
        <v>439</v>
      </c>
      <c r="E301" s="11" t="s">
        <v>50</v>
      </c>
      <c r="F301" s="11" t="s">
        <v>440</v>
      </c>
      <c r="G301" s="11" t="s">
        <v>400</v>
      </c>
      <c r="H301" s="11">
        <v>20</v>
      </c>
      <c r="I301" s="11" t="s">
        <v>432</v>
      </c>
      <c r="J301" s="11">
        <v>1</v>
      </c>
      <c r="K301" s="7" t="str">
        <f t="shared" si="4"/>
        <v>C252</v>
      </c>
      <c r="L301" s="8"/>
      <c r="M301" s="9" t="str">
        <f t="shared" si="5"/>
        <v>SPL1501</v>
      </c>
      <c r="N301" s="9">
        <f t="shared" si="6"/>
        <v>7</v>
      </c>
      <c r="O301" s="9" t="str">
        <f t="shared" si="7"/>
        <v>P/1SPL1501</v>
      </c>
    </row>
    <row r="302" spans="1:15" ht="17.5" x14ac:dyDescent="0.55000000000000004">
      <c r="A302" s="5" t="s">
        <v>427</v>
      </c>
      <c r="B302" s="6" t="s">
        <v>52</v>
      </c>
      <c r="C302" s="6" t="s">
        <v>461</v>
      </c>
      <c r="D302" s="12" t="s">
        <v>462</v>
      </c>
      <c r="E302" s="6" t="s">
        <v>16</v>
      </c>
      <c r="F302" s="6" t="s">
        <v>460</v>
      </c>
      <c r="G302" s="6" t="s">
        <v>17</v>
      </c>
      <c r="H302" s="6">
        <v>0</v>
      </c>
      <c r="I302" s="6" t="s">
        <v>429</v>
      </c>
      <c r="J302" s="6">
        <v>2</v>
      </c>
      <c r="K302" s="7" t="str">
        <f t="shared" si="4"/>
        <v>C252</v>
      </c>
      <c r="L302" s="8"/>
      <c r="M302" s="9" t="str">
        <f t="shared" si="5"/>
        <v>SPL1623</v>
      </c>
      <c r="N302" s="9">
        <f t="shared" si="6"/>
        <v>7</v>
      </c>
      <c r="O302" s="9" t="str">
        <f t="shared" si="7"/>
        <v>K/1SPL1623</v>
      </c>
    </row>
    <row r="303" spans="1:15" ht="17.5" x14ac:dyDescent="0.55000000000000004">
      <c r="A303" s="10" t="s">
        <v>427</v>
      </c>
      <c r="B303" s="11" t="s">
        <v>52</v>
      </c>
      <c r="C303" s="11" t="s">
        <v>235</v>
      </c>
      <c r="D303" s="13" t="s">
        <v>463</v>
      </c>
      <c r="E303" s="11" t="s">
        <v>16</v>
      </c>
      <c r="F303" s="11" t="s">
        <v>394</v>
      </c>
      <c r="G303" s="11" t="s">
        <v>17</v>
      </c>
      <c r="H303" s="11">
        <v>0</v>
      </c>
      <c r="I303" s="11" t="s">
        <v>432</v>
      </c>
      <c r="J303" s="11">
        <v>1</v>
      </c>
      <c r="K303" s="7" t="str">
        <f t="shared" si="4"/>
        <v>C252</v>
      </c>
      <c r="L303" s="8"/>
      <c r="M303" s="9" t="str">
        <f t="shared" si="5"/>
        <v>SPL1511</v>
      </c>
      <c r="N303" s="9">
        <f t="shared" si="6"/>
        <v>7</v>
      </c>
      <c r="O303" s="9" t="str">
        <f t="shared" si="7"/>
        <v>K/1SPL1511</v>
      </c>
    </row>
    <row r="304" spans="1:15" ht="17.5" x14ac:dyDescent="0.55000000000000004">
      <c r="A304" s="5" t="s">
        <v>427</v>
      </c>
      <c r="B304" s="6" t="s">
        <v>52</v>
      </c>
      <c r="C304" s="6" t="s">
        <v>101</v>
      </c>
      <c r="D304" s="12" t="s">
        <v>464</v>
      </c>
      <c r="E304" s="6" t="s">
        <v>16</v>
      </c>
      <c r="F304" s="6" t="s">
        <v>440</v>
      </c>
      <c r="G304" s="6" t="s">
        <v>17</v>
      </c>
      <c r="H304" s="6">
        <v>0</v>
      </c>
      <c r="I304" s="6" t="s">
        <v>432</v>
      </c>
      <c r="J304" s="6">
        <v>2</v>
      </c>
      <c r="K304" s="7" t="str">
        <f t="shared" si="4"/>
        <v>C252</v>
      </c>
      <c r="L304" s="8"/>
      <c r="M304" s="9" t="str">
        <f t="shared" si="5"/>
        <v>SPL1601</v>
      </c>
      <c r="N304" s="9">
        <f t="shared" si="6"/>
        <v>7</v>
      </c>
      <c r="O304" s="9" t="str">
        <f t="shared" si="7"/>
        <v>K/1SPL1601</v>
      </c>
    </row>
    <row r="305" spans="1:15" ht="17.5" x14ac:dyDescent="0.55000000000000004">
      <c r="A305" s="10" t="s">
        <v>427</v>
      </c>
      <c r="B305" s="11" t="s">
        <v>52</v>
      </c>
      <c r="C305" s="11" t="s">
        <v>138</v>
      </c>
      <c r="D305" s="13" t="s">
        <v>462</v>
      </c>
      <c r="E305" s="11" t="s">
        <v>50</v>
      </c>
      <c r="F305" s="11" t="s">
        <v>460</v>
      </c>
      <c r="G305" s="11" t="s">
        <v>400</v>
      </c>
      <c r="H305" s="11">
        <v>20</v>
      </c>
      <c r="I305" s="11" t="s">
        <v>429</v>
      </c>
      <c r="J305" s="11">
        <v>2</v>
      </c>
      <c r="K305" s="7" t="str">
        <f t="shared" si="4"/>
        <v>C252</v>
      </c>
      <c r="L305" s="8"/>
      <c r="M305" s="9" t="str">
        <f t="shared" si="5"/>
        <v>SPL1623</v>
      </c>
      <c r="N305" s="9">
        <f t="shared" si="6"/>
        <v>7</v>
      </c>
      <c r="O305" s="9" t="str">
        <f t="shared" si="7"/>
        <v>P/1SPL1623</v>
      </c>
    </row>
    <row r="306" spans="1:15" ht="17.5" x14ac:dyDescent="0.55000000000000004">
      <c r="A306" s="5" t="s">
        <v>465</v>
      </c>
      <c r="B306" s="5" t="s">
        <v>13</v>
      </c>
      <c r="C306" s="5" t="s">
        <v>14</v>
      </c>
      <c r="D306" s="5" t="s">
        <v>466</v>
      </c>
      <c r="E306" s="6" t="s">
        <v>16</v>
      </c>
      <c r="F306" s="5" t="s">
        <v>467</v>
      </c>
      <c r="G306" s="5" t="s">
        <v>468</v>
      </c>
      <c r="H306" s="6">
        <v>40</v>
      </c>
      <c r="I306" s="5" t="s">
        <v>469</v>
      </c>
      <c r="J306" s="6">
        <v>2</v>
      </c>
      <c r="K306" s="7" t="str">
        <f t="shared" si="4"/>
        <v>C351</v>
      </c>
      <c r="L306" s="8"/>
      <c r="M306" s="9" t="str">
        <f t="shared" si="5"/>
        <v>THP1601</v>
      </c>
      <c r="N306" s="9">
        <f t="shared" si="6"/>
        <v>7</v>
      </c>
      <c r="O306" s="9" t="str">
        <f t="shared" si="7"/>
        <v>K/1THP1601</v>
      </c>
    </row>
    <row r="307" spans="1:15" ht="17.5" x14ac:dyDescent="0.55000000000000004">
      <c r="A307" s="10" t="s">
        <v>465</v>
      </c>
      <c r="B307" s="10" t="s">
        <v>13</v>
      </c>
      <c r="C307" s="10" t="s">
        <v>147</v>
      </c>
      <c r="D307" s="10" t="s">
        <v>466</v>
      </c>
      <c r="E307" s="11" t="s">
        <v>50</v>
      </c>
      <c r="F307" s="10" t="s">
        <v>467</v>
      </c>
      <c r="G307" s="10" t="s">
        <v>468</v>
      </c>
      <c r="H307" s="11">
        <v>40</v>
      </c>
      <c r="I307" s="10" t="s">
        <v>470</v>
      </c>
      <c r="J307" s="11">
        <v>2</v>
      </c>
      <c r="K307" s="7" t="str">
        <f t="shared" si="4"/>
        <v>C351</v>
      </c>
      <c r="L307" s="8"/>
      <c r="M307" s="9" t="str">
        <f t="shared" si="5"/>
        <v>THP1601</v>
      </c>
      <c r="N307" s="9">
        <f t="shared" si="6"/>
        <v>7</v>
      </c>
      <c r="O307" s="9" t="str">
        <f t="shared" si="7"/>
        <v>P/1THP1601</v>
      </c>
    </row>
    <row r="308" spans="1:15" ht="17.5" x14ac:dyDescent="0.55000000000000004">
      <c r="A308" s="5" t="s">
        <v>465</v>
      </c>
      <c r="B308" s="5" t="s">
        <v>13</v>
      </c>
      <c r="C308" s="5" t="s">
        <v>64</v>
      </c>
      <c r="D308" s="5" t="s">
        <v>471</v>
      </c>
      <c r="E308" s="6" t="s">
        <v>16</v>
      </c>
      <c r="F308" s="5" t="s">
        <v>472</v>
      </c>
      <c r="G308" s="5" t="s">
        <v>468</v>
      </c>
      <c r="H308" s="6">
        <v>40</v>
      </c>
      <c r="I308" s="5" t="s">
        <v>469</v>
      </c>
      <c r="J308" s="6">
        <v>1</v>
      </c>
      <c r="K308" s="7" t="str">
        <f t="shared" si="4"/>
        <v>C351</v>
      </c>
      <c r="L308" s="8"/>
      <c r="M308" s="9" t="str">
        <f t="shared" si="5"/>
        <v>THP1535</v>
      </c>
      <c r="N308" s="9">
        <f t="shared" si="6"/>
        <v>7</v>
      </c>
      <c r="O308" s="9" t="str">
        <f t="shared" si="7"/>
        <v>K/1THP1535</v>
      </c>
    </row>
    <row r="309" spans="1:15" ht="17.5" x14ac:dyDescent="0.55000000000000004">
      <c r="A309" s="10" t="s">
        <v>465</v>
      </c>
      <c r="B309" s="10" t="s">
        <v>13</v>
      </c>
      <c r="C309" s="10" t="s">
        <v>64</v>
      </c>
      <c r="D309" s="10" t="s">
        <v>473</v>
      </c>
      <c r="E309" s="11" t="s">
        <v>16</v>
      </c>
      <c r="F309" s="10" t="s">
        <v>474</v>
      </c>
      <c r="G309" s="10" t="s">
        <v>17</v>
      </c>
      <c r="H309" s="11">
        <v>0</v>
      </c>
      <c r="I309" s="10" t="s">
        <v>470</v>
      </c>
      <c r="J309" s="11">
        <v>1</v>
      </c>
      <c r="K309" s="7" t="str">
        <f t="shared" si="4"/>
        <v>C351</v>
      </c>
      <c r="L309" s="8"/>
      <c r="M309" s="9" t="str">
        <f t="shared" si="5"/>
        <v>THP1616</v>
      </c>
      <c r="N309" s="9">
        <f t="shared" si="6"/>
        <v>7</v>
      </c>
      <c r="O309" s="9" t="str">
        <f t="shared" si="7"/>
        <v>K/1THP1616</v>
      </c>
    </row>
    <row r="310" spans="1:15" ht="17.5" x14ac:dyDescent="0.55000000000000004">
      <c r="A310" s="5" t="s">
        <v>465</v>
      </c>
      <c r="B310" s="5" t="s">
        <v>13</v>
      </c>
      <c r="C310" s="5" t="s">
        <v>64</v>
      </c>
      <c r="D310" s="5" t="s">
        <v>475</v>
      </c>
      <c r="E310" s="6" t="s">
        <v>16</v>
      </c>
      <c r="F310" s="5" t="s">
        <v>467</v>
      </c>
      <c r="G310" s="5" t="s">
        <v>17</v>
      </c>
      <c r="H310" s="6">
        <v>0</v>
      </c>
      <c r="I310" s="5" t="s">
        <v>470</v>
      </c>
      <c r="J310" s="6">
        <v>1</v>
      </c>
      <c r="K310" s="7" t="str">
        <f t="shared" si="4"/>
        <v>C351</v>
      </c>
      <c r="L310" s="8"/>
      <c r="M310" s="9" t="str">
        <f t="shared" si="5"/>
        <v>THP1622</v>
      </c>
      <c r="N310" s="9">
        <f t="shared" si="6"/>
        <v>7</v>
      </c>
      <c r="O310" s="9" t="str">
        <f t="shared" si="7"/>
        <v>K/1THP1622</v>
      </c>
    </row>
    <row r="311" spans="1:15" ht="17.5" x14ac:dyDescent="0.55000000000000004">
      <c r="A311" s="10" t="s">
        <v>465</v>
      </c>
      <c r="B311" s="10" t="s">
        <v>13</v>
      </c>
      <c r="C311" s="10" t="s">
        <v>138</v>
      </c>
      <c r="D311" s="10" t="s">
        <v>471</v>
      </c>
      <c r="E311" s="11" t="s">
        <v>50</v>
      </c>
      <c r="F311" s="10" t="s">
        <v>472</v>
      </c>
      <c r="G311" s="10" t="s">
        <v>468</v>
      </c>
      <c r="H311" s="11">
        <v>40</v>
      </c>
      <c r="I311" s="10" t="s">
        <v>469</v>
      </c>
      <c r="J311" s="11">
        <v>1</v>
      </c>
      <c r="K311" s="7" t="str">
        <f t="shared" si="4"/>
        <v>C351</v>
      </c>
      <c r="L311" s="8"/>
      <c r="M311" s="9" t="str">
        <f t="shared" si="5"/>
        <v>THP1535</v>
      </c>
      <c r="N311" s="9">
        <f t="shared" si="6"/>
        <v>7</v>
      </c>
      <c r="O311" s="9" t="str">
        <f t="shared" si="7"/>
        <v>P/1THP1535</v>
      </c>
    </row>
    <row r="312" spans="1:15" ht="17.5" x14ac:dyDescent="0.55000000000000004">
      <c r="A312" s="5" t="s">
        <v>465</v>
      </c>
      <c r="B312" s="5" t="s">
        <v>13</v>
      </c>
      <c r="C312" s="5" t="s">
        <v>138</v>
      </c>
      <c r="D312" s="5" t="s">
        <v>473</v>
      </c>
      <c r="E312" s="6" t="s">
        <v>50</v>
      </c>
      <c r="F312" s="5" t="s">
        <v>474</v>
      </c>
      <c r="G312" s="5" t="s">
        <v>17</v>
      </c>
      <c r="H312" s="6">
        <v>0</v>
      </c>
      <c r="I312" s="5" t="s">
        <v>470</v>
      </c>
      <c r="J312" s="6">
        <v>1</v>
      </c>
      <c r="K312" s="7" t="str">
        <f t="shared" si="4"/>
        <v>C351</v>
      </c>
      <c r="L312" s="8"/>
      <c r="M312" s="9" t="str">
        <f t="shared" si="5"/>
        <v>THP1616</v>
      </c>
      <c r="N312" s="9">
        <f t="shared" si="6"/>
        <v>7</v>
      </c>
      <c r="O312" s="9" t="str">
        <f t="shared" si="7"/>
        <v>P/1THP1616</v>
      </c>
    </row>
    <row r="313" spans="1:15" ht="17.5" x14ac:dyDescent="0.55000000000000004">
      <c r="A313" s="10" t="s">
        <v>465</v>
      </c>
      <c r="B313" s="10" t="s">
        <v>13</v>
      </c>
      <c r="C313" s="10" t="s">
        <v>138</v>
      </c>
      <c r="D313" s="10" t="s">
        <v>475</v>
      </c>
      <c r="E313" s="11" t="s">
        <v>50</v>
      </c>
      <c r="F313" s="10" t="s">
        <v>467</v>
      </c>
      <c r="G313" s="10" t="s">
        <v>17</v>
      </c>
      <c r="H313" s="11">
        <v>0</v>
      </c>
      <c r="I313" s="10" t="s">
        <v>470</v>
      </c>
      <c r="J313" s="11">
        <v>1</v>
      </c>
      <c r="K313" s="7" t="str">
        <f t="shared" si="4"/>
        <v>C351</v>
      </c>
      <c r="L313" s="8"/>
      <c r="M313" s="9" t="str">
        <f t="shared" si="5"/>
        <v>THP1622</v>
      </c>
      <c r="N313" s="9">
        <f t="shared" si="6"/>
        <v>7</v>
      </c>
      <c r="O313" s="9" t="str">
        <f t="shared" si="7"/>
        <v>P/1THP1622</v>
      </c>
    </row>
    <row r="314" spans="1:15" ht="17.5" x14ac:dyDescent="0.55000000000000004">
      <c r="A314" s="5" t="s">
        <v>465</v>
      </c>
      <c r="B314" s="5" t="s">
        <v>31</v>
      </c>
      <c r="C314" s="5" t="s">
        <v>14</v>
      </c>
      <c r="D314" s="5" t="s">
        <v>476</v>
      </c>
      <c r="E314" s="6" t="s">
        <v>16</v>
      </c>
      <c r="F314" s="5" t="s">
        <v>477</v>
      </c>
      <c r="G314" s="5" t="s">
        <v>468</v>
      </c>
      <c r="H314" s="6">
        <v>40</v>
      </c>
      <c r="I314" s="5" t="s">
        <v>469</v>
      </c>
      <c r="J314" s="6">
        <v>1</v>
      </c>
      <c r="K314" s="7" t="str">
        <f t="shared" si="4"/>
        <v>C351</v>
      </c>
      <c r="L314" s="8"/>
      <c r="M314" s="9" t="str">
        <f t="shared" si="5"/>
        <v>THP1528</v>
      </c>
      <c r="N314" s="9">
        <f t="shared" si="6"/>
        <v>7</v>
      </c>
      <c r="O314" s="9" t="str">
        <f t="shared" si="7"/>
        <v>K/1THP1528</v>
      </c>
    </row>
    <row r="315" spans="1:15" ht="17.5" x14ac:dyDescent="0.55000000000000004">
      <c r="A315" s="10" t="s">
        <v>465</v>
      </c>
      <c r="B315" s="10" t="s">
        <v>31</v>
      </c>
      <c r="C315" s="10" t="s">
        <v>25</v>
      </c>
      <c r="D315" s="10" t="s">
        <v>478</v>
      </c>
      <c r="E315" s="11" t="s">
        <v>16</v>
      </c>
      <c r="F315" s="10" t="s">
        <v>479</v>
      </c>
      <c r="G315" s="10" t="s">
        <v>468</v>
      </c>
      <c r="H315" s="11">
        <v>40</v>
      </c>
      <c r="I315" s="10" t="s">
        <v>469</v>
      </c>
      <c r="J315" s="11">
        <v>1</v>
      </c>
      <c r="K315" s="7" t="str">
        <f t="shared" si="4"/>
        <v>C351</v>
      </c>
      <c r="L315" s="8"/>
      <c r="M315" s="9" t="str">
        <f t="shared" si="5"/>
        <v>THP1512</v>
      </c>
      <c r="N315" s="9">
        <f t="shared" si="6"/>
        <v>7</v>
      </c>
      <c r="O315" s="9" t="str">
        <f t="shared" si="7"/>
        <v>K/1THP1512</v>
      </c>
    </row>
    <row r="316" spans="1:15" ht="17.5" x14ac:dyDescent="0.55000000000000004">
      <c r="A316" s="5" t="s">
        <v>465</v>
      </c>
      <c r="B316" s="5" t="s">
        <v>31</v>
      </c>
      <c r="C316" s="5" t="s">
        <v>25</v>
      </c>
      <c r="D316" s="5" t="s">
        <v>480</v>
      </c>
      <c r="E316" s="6" t="s">
        <v>16</v>
      </c>
      <c r="F316" s="5" t="s">
        <v>481</v>
      </c>
      <c r="G316" s="5" t="s">
        <v>17</v>
      </c>
      <c r="H316" s="6">
        <v>0</v>
      </c>
      <c r="I316" s="5" t="s">
        <v>469</v>
      </c>
      <c r="J316" s="6">
        <v>1</v>
      </c>
      <c r="K316" s="7" t="str">
        <f t="shared" si="4"/>
        <v>C351</v>
      </c>
      <c r="L316" s="8"/>
      <c r="M316" s="9" t="str">
        <f t="shared" si="5"/>
        <v>THP151A</v>
      </c>
      <c r="N316" s="9">
        <f t="shared" si="6"/>
        <v>7</v>
      </c>
      <c r="O316" s="9" t="str">
        <f t="shared" si="7"/>
        <v>K/1THP151A</v>
      </c>
    </row>
    <row r="317" spans="1:15" ht="17.5" x14ac:dyDescent="0.55000000000000004">
      <c r="A317" s="10" t="s">
        <v>465</v>
      </c>
      <c r="B317" s="10" t="s">
        <v>31</v>
      </c>
      <c r="C317" s="10" t="s">
        <v>25</v>
      </c>
      <c r="D317" s="10" t="s">
        <v>482</v>
      </c>
      <c r="E317" s="11" t="s">
        <v>16</v>
      </c>
      <c r="F317" s="10" t="s">
        <v>483</v>
      </c>
      <c r="G317" s="10" t="s">
        <v>17</v>
      </c>
      <c r="H317" s="11">
        <v>0</v>
      </c>
      <c r="I317" s="10" t="s">
        <v>469</v>
      </c>
      <c r="J317" s="11">
        <v>1</v>
      </c>
      <c r="K317" s="7" t="str">
        <f t="shared" si="4"/>
        <v>C351</v>
      </c>
      <c r="L317" s="8"/>
      <c r="M317" s="9" t="str">
        <f t="shared" si="5"/>
        <v>THP1525</v>
      </c>
      <c r="N317" s="9">
        <f t="shared" si="6"/>
        <v>7</v>
      </c>
      <c r="O317" s="9" t="str">
        <f t="shared" si="7"/>
        <v>K/1THP1525</v>
      </c>
    </row>
    <row r="318" spans="1:15" ht="17.5" x14ac:dyDescent="0.55000000000000004">
      <c r="A318" s="5" t="s">
        <v>465</v>
      </c>
      <c r="B318" s="5" t="s">
        <v>31</v>
      </c>
      <c r="C318" s="5" t="s">
        <v>64</v>
      </c>
      <c r="D318" s="5" t="s">
        <v>484</v>
      </c>
      <c r="E318" s="6" t="s">
        <v>16</v>
      </c>
      <c r="F318" s="5" t="s">
        <v>485</v>
      </c>
      <c r="G318" s="5" t="s">
        <v>468</v>
      </c>
      <c r="H318" s="6">
        <v>40</v>
      </c>
      <c r="I318" s="5" t="s">
        <v>470</v>
      </c>
      <c r="J318" s="6">
        <v>1</v>
      </c>
      <c r="K318" s="7" t="str">
        <f t="shared" si="4"/>
        <v>C351</v>
      </c>
      <c r="L318" s="8"/>
      <c r="M318" s="9" t="str">
        <f t="shared" si="5"/>
        <v>THP1624</v>
      </c>
      <c r="N318" s="9">
        <f t="shared" si="6"/>
        <v>7</v>
      </c>
      <c r="O318" s="9" t="str">
        <f t="shared" si="7"/>
        <v>K/1THP1624</v>
      </c>
    </row>
    <row r="319" spans="1:15" ht="17.5" x14ac:dyDescent="0.55000000000000004">
      <c r="A319" s="10" t="s">
        <v>465</v>
      </c>
      <c r="B319" s="10" t="s">
        <v>31</v>
      </c>
      <c r="C319" s="10" t="s">
        <v>138</v>
      </c>
      <c r="D319" s="10" t="s">
        <v>478</v>
      </c>
      <c r="E319" s="11" t="s">
        <v>50</v>
      </c>
      <c r="F319" s="10" t="s">
        <v>479</v>
      </c>
      <c r="G319" s="10" t="s">
        <v>17</v>
      </c>
      <c r="H319" s="11">
        <v>0</v>
      </c>
      <c r="I319" s="10" t="s">
        <v>469</v>
      </c>
      <c r="J319" s="11">
        <v>1</v>
      </c>
      <c r="K319" s="7" t="str">
        <f t="shared" si="4"/>
        <v>C351</v>
      </c>
      <c r="L319" s="8"/>
      <c r="M319" s="9" t="str">
        <f t="shared" si="5"/>
        <v>THP1512</v>
      </c>
      <c r="N319" s="9">
        <f t="shared" si="6"/>
        <v>7</v>
      </c>
      <c r="O319" s="9" t="str">
        <f t="shared" si="7"/>
        <v>P/1THP1512</v>
      </c>
    </row>
    <row r="320" spans="1:15" ht="17.5" x14ac:dyDescent="0.55000000000000004">
      <c r="A320" s="5" t="s">
        <v>465</v>
      </c>
      <c r="B320" s="5" t="s">
        <v>31</v>
      </c>
      <c r="C320" s="5" t="s">
        <v>138</v>
      </c>
      <c r="D320" s="5" t="s">
        <v>482</v>
      </c>
      <c r="E320" s="6" t="s">
        <v>50</v>
      </c>
      <c r="F320" s="5" t="s">
        <v>483</v>
      </c>
      <c r="G320" s="5" t="s">
        <v>17</v>
      </c>
      <c r="H320" s="6">
        <v>0</v>
      </c>
      <c r="I320" s="5" t="s">
        <v>469</v>
      </c>
      <c r="J320" s="6">
        <v>1</v>
      </c>
      <c r="K320" s="7" t="str">
        <f t="shared" si="4"/>
        <v>C351</v>
      </c>
      <c r="L320" s="8"/>
      <c r="M320" s="9" t="str">
        <f t="shared" si="5"/>
        <v>THP1525</v>
      </c>
      <c r="N320" s="9">
        <f t="shared" si="6"/>
        <v>7</v>
      </c>
      <c r="O320" s="9" t="str">
        <f t="shared" si="7"/>
        <v>P/1THP1525</v>
      </c>
    </row>
    <row r="321" spans="1:15" ht="17.5" x14ac:dyDescent="0.55000000000000004">
      <c r="A321" s="10" t="s">
        <v>465</v>
      </c>
      <c r="B321" s="10" t="s">
        <v>31</v>
      </c>
      <c r="C321" s="10" t="s">
        <v>138</v>
      </c>
      <c r="D321" s="10" t="s">
        <v>484</v>
      </c>
      <c r="E321" s="11" t="s">
        <v>50</v>
      </c>
      <c r="F321" s="10" t="s">
        <v>485</v>
      </c>
      <c r="G321" s="10" t="s">
        <v>17</v>
      </c>
      <c r="H321" s="11">
        <v>0</v>
      </c>
      <c r="I321" s="10" t="s">
        <v>470</v>
      </c>
      <c r="J321" s="11">
        <v>1</v>
      </c>
      <c r="K321" s="7" t="str">
        <f t="shared" si="4"/>
        <v>C351</v>
      </c>
      <c r="L321" s="8"/>
      <c r="M321" s="9" t="str">
        <f t="shared" si="5"/>
        <v>THP1624</v>
      </c>
      <c r="N321" s="9">
        <f t="shared" si="6"/>
        <v>7</v>
      </c>
      <c r="O321" s="9" t="str">
        <f t="shared" si="7"/>
        <v>P/1THP1624</v>
      </c>
    </row>
    <row r="322" spans="1:15" ht="17.5" x14ac:dyDescent="0.55000000000000004">
      <c r="A322" s="5" t="s">
        <v>465</v>
      </c>
      <c r="B322" s="5" t="s">
        <v>41</v>
      </c>
      <c r="C322" s="5" t="s">
        <v>14</v>
      </c>
      <c r="D322" s="5" t="s">
        <v>486</v>
      </c>
      <c r="E322" s="6" t="s">
        <v>16</v>
      </c>
      <c r="F322" s="5" t="s">
        <v>467</v>
      </c>
      <c r="G322" s="5" t="s">
        <v>468</v>
      </c>
      <c r="H322" s="6">
        <v>40</v>
      </c>
      <c r="I322" s="5" t="s">
        <v>469</v>
      </c>
      <c r="J322" s="6">
        <v>2</v>
      </c>
      <c r="K322" s="7" t="str">
        <f t="shared" si="4"/>
        <v>C351</v>
      </c>
      <c r="L322" s="8"/>
      <c r="M322" s="9" t="str">
        <f t="shared" si="5"/>
        <v>THP1502</v>
      </c>
      <c r="N322" s="9">
        <f t="shared" si="6"/>
        <v>7</v>
      </c>
      <c r="O322" s="9" t="str">
        <f t="shared" si="7"/>
        <v>K/1THP1502</v>
      </c>
    </row>
    <row r="323" spans="1:15" ht="17.5" x14ac:dyDescent="0.55000000000000004">
      <c r="A323" s="10" t="s">
        <v>465</v>
      </c>
      <c r="B323" s="10" t="s">
        <v>41</v>
      </c>
      <c r="C323" s="10" t="s">
        <v>487</v>
      </c>
      <c r="D323" s="10" t="s">
        <v>488</v>
      </c>
      <c r="E323" s="11" t="s">
        <v>50</v>
      </c>
      <c r="F323" s="10" t="s">
        <v>467</v>
      </c>
      <c r="G323" s="10" t="s">
        <v>17</v>
      </c>
      <c r="H323" s="11">
        <v>0</v>
      </c>
      <c r="I323" s="10" t="s">
        <v>469</v>
      </c>
      <c r="J323" s="11">
        <v>4</v>
      </c>
      <c r="K323" s="7" t="str">
        <f t="shared" si="4"/>
        <v>C351</v>
      </c>
      <c r="L323" s="8"/>
      <c r="M323" s="9" t="str">
        <f t="shared" si="5"/>
        <v>THP169B</v>
      </c>
      <c r="N323" s="9">
        <f t="shared" si="6"/>
        <v>7</v>
      </c>
      <c r="O323" s="9" t="str">
        <f t="shared" si="7"/>
        <v>P/1THP169B</v>
      </c>
    </row>
    <row r="324" spans="1:15" ht="17.5" x14ac:dyDescent="0.55000000000000004">
      <c r="A324" s="5" t="s">
        <v>465</v>
      </c>
      <c r="B324" s="5" t="s">
        <v>41</v>
      </c>
      <c r="C324" s="5" t="s">
        <v>64</v>
      </c>
      <c r="D324" s="5" t="s">
        <v>489</v>
      </c>
      <c r="E324" s="6" t="s">
        <v>16</v>
      </c>
      <c r="F324" s="5" t="s">
        <v>490</v>
      </c>
      <c r="G324" s="5" t="s">
        <v>17</v>
      </c>
      <c r="H324" s="6">
        <v>0</v>
      </c>
      <c r="I324" s="5" t="s">
        <v>470</v>
      </c>
      <c r="J324" s="6">
        <v>2</v>
      </c>
      <c r="K324" s="7" t="str">
        <f t="shared" si="4"/>
        <v>C351</v>
      </c>
      <c r="L324" s="8"/>
      <c r="M324" s="9" t="str">
        <f t="shared" si="5"/>
        <v>THP1639</v>
      </c>
      <c r="N324" s="9">
        <f t="shared" si="6"/>
        <v>7</v>
      </c>
      <c r="O324" s="9" t="str">
        <f t="shared" si="7"/>
        <v>K/1THP1639</v>
      </c>
    </row>
    <row r="325" spans="1:15" ht="17.5" x14ac:dyDescent="0.55000000000000004">
      <c r="A325" s="10" t="s">
        <v>465</v>
      </c>
      <c r="B325" s="10" t="s">
        <v>41</v>
      </c>
      <c r="C325" s="10" t="s">
        <v>138</v>
      </c>
      <c r="D325" s="10" t="s">
        <v>486</v>
      </c>
      <c r="E325" s="11" t="s">
        <v>50</v>
      </c>
      <c r="F325" s="10" t="s">
        <v>467</v>
      </c>
      <c r="G325" s="10" t="s">
        <v>17</v>
      </c>
      <c r="H325" s="11">
        <v>0</v>
      </c>
      <c r="I325" s="10" t="s">
        <v>469</v>
      </c>
      <c r="J325" s="11">
        <v>2</v>
      </c>
      <c r="K325" s="7" t="str">
        <f t="shared" si="4"/>
        <v>C351</v>
      </c>
      <c r="L325" s="8"/>
      <c r="M325" s="9" t="str">
        <f t="shared" si="5"/>
        <v>THP1502</v>
      </c>
      <c r="N325" s="9">
        <f t="shared" si="6"/>
        <v>7</v>
      </c>
      <c r="O325" s="9" t="str">
        <f t="shared" si="7"/>
        <v>P/1THP1502</v>
      </c>
    </row>
    <row r="326" spans="1:15" ht="17.5" x14ac:dyDescent="0.55000000000000004">
      <c r="A326" s="5" t="s">
        <v>465</v>
      </c>
      <c r="B326" s="5" t="s">
        <v>47</v>
      </c>
      <c r="C326" s="5" t="s">
        <v>14</v>
      </c>
      <c r="D326" s="5" t="s">
        <v>491</v>
      </c>
      <c r="E326" s="6" t="s">
        <v>16</v>
      </c>
      <c r="F326" s="5" t="s">
        <v>492</v>
      </c>
      <c r="G326" s="5" t="s">
        <v>17</v>
      </c>
      <c r="H326" s="6">
        <v>0</v>
      </c>
      <c r="I326" s="5" t="s">
        <v>469</v>
      </c>
      <c r="J326" s="6">
        <v>1</v>
      </c>
      <c r="K326" s="7" t="str">
        <f t="shared" si="4"/>
        <v>C351</v>
      </c>
      <c r="L326" s="8"/>
      <c r="M326" s="9" t="str">
        <f t="shared" si="5"/>
        <v>THP1514</v>
      </c>
      <c r="N326" s="9">
        <f t="shared" si="6"/>
        <v>7</v>
      </c>
      <c r="O326" s="9" t="str">
        <f t="shared" si="7"/>
        <v>K/1THP1514</v>
      </c>
    </row>
    <row r="327" spans="1:15" ht="17.5" x14ac:dyDescent="0.55000000000000004">
      <c r="A327" s="10" t="s">
        <v>465</v>
      </c>
      <c r="B327" s="10" t="s">
        <v>47</v>
      </c>
      <c r="C327" s="10" t="s">
        <v>14</v>
      </c>
      <c r="D327" s="10" t="s">
        <v>493</v>
      </c>
      <c r="E327" s="11" t="s">
        <v>16</v>
      </c>
      <c r="F327" s="10" t="s">
        <v>472</v>
      </c>
      <c r="G327" s="10" t="s">
        <v>17</v>
      </c>
      <c r="H327" s="11">
        <v>0</v>
      </c>
      <c r="I327" s="10" t="s">
        <v>469</v>
      </c>
      <c r="J327" s="11">
        <v>1</v>
      </c>
      <c r="K327" s="7" t="str">
        <f t="shared" si="4"/>
        <v>C351</v>
      </c>
      <c r="L327" s="8"/>
      <c r="M327" s="9" t="str">
        <f t="shared" si="5"/>
        <v>THP1533</v>
      </c>
      <c r="N327" s="9">
        <f t="shared" si="6"/>
        <v>7</v>
      </c>
      <c r="O327" s="9" t="str">
        <f t="shared" si="7"/>
        <v>K/1THP1533</v>
      </c>
    </row>
    <row r="328" spans="1:15" ht="17.5" x14ac:dyDescent="0.55000000000000004">
      <c r="A328" s="5" t="s">
        <v>465</v>
      </c>
      <c r="B328" s="5" t="s">
        <v>47</v>
      </c>
      <c r="C328" s="5" t="s">
        <v>14</v>
      </c>
      <c r="D328" s="5" t="s">
        <v>494</v>
      </c>
      <c r="E328" s="6" t="s">
        <v>16</v>
      </c>
      <c r="F328" s="5" t="s">
        <v>477</v>
      </c>
      <c r="G328" s="5" t="s">
        <v>468</v>
      </c>
      <c r="H328" s="6">
        <v>40</v>
      </c>
      <c r="I328" s="5" t="s">
        <v>470</v>
      </c>
      <c r="J328" s="6">
        <v>1</v>
      </c>
      <c r="K328" s="7" t="str">
        <f t="shared" si="4"/>
        <v>C351</v>
      </c>
      <c r="L328" s="8"/>
      <c r="M328" s="9" t="str">
        <f t="shared" si="5"/>
        <v>THP1623</v>
      </c>
      <c r="N328" s="9">
        <f t="shared" si="6"/>
        <v>7</v>
      </c>
      <c r="O328" s="9" t="str">
        <f t="shared" si="7"/>
        <v>K/1THP1623</v>
      </c>
    </row>
    <row r="329" spans="1:15" ht="17.5" x14ac:dyDescent="0.55000000000000004">
      <c r="A329" s="10" t="s">
        <v>465</v>
      </c>
      <c r="B329" s="10" t="s">
        <v>47</v>
      </c>
      <c r="C329" s="10" t="s">
        <v>25</v>
      </c>
      <c r="D329" s="10" t="s">
        <v>495</v>
      </c>
      <c r="E329" s="11" t="s">
        <v>16</v>
      </c>
      <c r="F329" s="10" t="s">
        <v>490</v>
      </c>
      <c r="G329" s="10" t="s">
        <v>17</v>
      </c>
      <c r="H329" s="11">
        <v>0</v>
      </c>
      <c r="I329" s="10" t="s">
        <v>470</v>
      </c>
      <c r="J329" s="11">
        <v>1</v>
      </c>
      <c r="K329" s="7" t="str">
        <f t="shared" si="4"/>
        <v>C351</v>
      </c>
      <c r="L329" s="8"/>
      <c r="M329" s="9" t="str">
        <f t="shared" si="5"/>
        <v>THP1634</v>
      </c>
      <c r="N329" s="9">
        <f t="shared" si="6"/>
        <v>7</v>
      </c>
      <c r="O329" s="9" t="str">
        <f t="shared" si="7"/>
        <v>K/1THP1634</v>
      </c>
    </row>
    <row r="330" spans="1:15" ht="17.5" x14ac:dyDescent="0.55000000000000004">
      <c r="A330" s="5" t="s">
        <v>465</v>
      </c>
      <c r="B330" s="5" t="s">
        <v>47</v>
      </c>
      <c r="C330" s="5" t="s">
        <v>147</v>
      </c>
      <c r="D330" s="5" t="s">
        <v>494</v>
      </c>
      <c r="E330" s="6" t="s">
        <v>50</v>
      </c>
      <c r="F330" s="5" t="s">
        <v>477</v>
      </c>
      <c r="G330" s="5" t="s">
        <v>17</v>
      </c>
      <c r="H330" s="6">
        <v>0</v>
      </c>
      <c r="I330" s="5" t="s">
        <v>470</v>
      </c>
      <c r="J330" s="6">
        <v>1</v>
      </c>
      <c r="K330" s="7" t="str">
        <f t="shared" si="4"/>
        <v>C351</v>
      </c>
      <c r="L330" s="8"/>
      <c r="M330" s="9" t="str">
        <f t="shared" si="5"/>
        <v>THP1623</v>
      </c>
      <c r="N330" s="9">
        <f t="shared" si="6"/>
        <v>7</v>
      </c>
      <c r="O330" s="9" t="str">
        <f t="shared" si="7"/>
        <v>P/1THP1623</v>
      </c>
    </row>
    <row r="331" spans="1:15" ht="17.5" x14ac:dyDescent="0.55000000000000004">
      <c r="A331" s="10" t="s">
        <v>465</v>
      </c>
      <c r="B331" s="10" t="s">
        <v>47</v>
      </c>
      <c r="C331" s="10" t="s">
        <v>49</v>
      </c>
      <c r="D331" s="10" t="s">
        <v>491</v>
      </c>
      <c r="E331" s="11" t="s">
        <v>50</v>
      </c>
      <c r="F331" s="10" t="s">
        <v>492</v>
      </c>
      <c r="G331" s="10" t="s">
        <v>17</v>
      </c>
      <c r="H331" s="11">
        <v>0</v>
      </c>
      <c r="I331" s="10" t="s">
        <v>469</v>
      </c>
      <c r="J331" s="11">
        <v>1</v>
      </c>
      <c r="K331" s="7" t="str">
        <f t="shared" si="4"/>
        <v>C351</v>
      </c>
      <c r="L331" s="8"/>
      <c r="M331" s="9" t="str">
        <f t="shared" si="5"/>
        <v>THP1514</v>
      </c>
      <c r="N331" s="9">
        <f t="shared" si="6"/>
        <v>7</v>
      </c>
      <c r="O331" s="9" t="str">
        <f t="shared" si="7"/>
        <v>P/1THP1514</v>
      </c>
    </row>
    <row r="332" spans="1:15" ht="17.5" x14ac:dyDescent="0.55000000000000004">
      <c r="A332" s="5" t="s">
        <v>465</v>
      </c>
      <c r="B332" s="5" t="s">
        <v>47</v>
      </c>
      <c r="C332" s="5" t="s">
        <v>49</v>
      </c>
      <c r="D332" s="5" t="s">
        <v>493</v>
      </c>
      <c r="E332" s="6" t="s">
        <v>50</v>
      </c>
      <c r="F332" s="5" t="s">
        <v>472</v>
      </c>
      <c r="G332" s="5" t="s">
        <v>17</v>
      </c>
      <c r="H332" s="6">
        <v>0</v>
      </c>
      <c r="I332" s="5" t="s">
        <v>469</v>
      </c>
      <c r="J332" s="6">
        <v>1</v>
      </c>
      <c r="K332" s="7" t="str">
        <f t="shared" si="4"/>
        <v>C351</v>
      </c>
      <c r="L332" s="8"/>
      <c r="M332" s="9" t="str">
        <f t="shared" si="5"/>
        <v>THP1533</v>
      </c>
      <c r="N332" s="9">
        <f t="shared" si="6"/>
        <v>7</v>
      </c>
      <c r="O332" s="9" t="str">
        <f t="shared" si="7"/>
        <v>P/1THP1533</v>
      </c>
    </row>
    <row r="333" spans="1:15" ht="17.5" x14ac:dyDescent="0.55000000000000004">
      <c r="A333" s="10" t="s">
        <v>465</v>
      </c>
      <c r="B333" s="10" t="s">
        <v>47</v>
      </c>
      <c r="C333" s="10" t="s">
        <v>138</v>
      </c>
      <c r="D333" s="10" t="s">
        <v>495</v>
      </c>
      <c r="E333" s="11" t="s">
        <v>50</v>
      </c>
      <c r="F333" s="10" t="s">
        <v>490</v>
      </c>
      <c r="G333" s="10" t="s">
        <v>17</v>
      </c>
      <c r="H333" s="11">
        <v>0</v>
      </c>
      <c r="I333" s="10" t="s">
        <v>470</v>
      </c>
      <c r="J333" s="11">
        <v>1</v>
      </c>
      <c r="K333" s="7" t="str">
        <f t="shared" si="4"/>
        <v>C351</v>
      </c>
      <c r="L333" s="8"/>
      <c r="M333" s="9" t="str">
        <f t="shared" si="5"/>
        <v>THP1634</v>
      </c>
      <c r="N333" s="9">
        <f t="shared" si="6"/>
        <v>7</v>
      </c>
      <c r="O333" s="9" t="str">
        <f t="shared" si="7"/>
        <v>P/1THP1634</v>
      </c>
    </row>
    <row r="334" spans="1:15" ht="17.5" x14ac:dyDescent="0.55000000000000004">
      <c r="A334" s="5" t="s">
        <v>465</v>
      </c>
      <c r="B334" s="5" t="s">
        <v>52</v>
      </c>
      <c r="C334" s="5" t="s">
        <v>14</v>
      </c>
      <c r="D334" s="5" t="s">
        <v>496</v>
      </c>
      <c r="E334" s="6" t="s">
        <v>16</v>
      </c>
      <c r="F334" s="5" t="s">
        <v>497</v>
      </c>
      <c r="G334" s="5" t="s">
        <v>17</v>
      </c>
      <c r="H334" s="6">
        <v>0</v>
      </c>
      <c r="I334" s="5" t="s">
        <v>469</v>
      </c>
      <c r="J334" s="6">
        <v>1</v>
      </c>
      <c r="K334" s="7" t="str">
        <f t="shared" si="4"/>
        <v>C351</v>
      </c>
      <c r="L334" s="8"/>
      <c r="M334" s="9" t="str">
        <f t="shared" si="5"/>
        <v>THP1536</v>
      </c>
      <c r="N334" s="9">
        <f t="shared" si="6"/>
        <v>7</v>
      </c>
      <c r="O334" s="9" t="str">
        <f t="shared" si="7"/>
        <v>K/1THP1536</v>
      </c>
    </row>
    <row r="335" spans="1:15" ht="17.5" x14ac:dyDescent="0.55000000000000004">
      <c r="A335" s="10" t="s">
        <v>465</v>
      </c>
      <c r="B335" s="10" t="s">
        <v>52</v>
      </c>
      <c r="C335" s="10" t="s">
        <v>14</v>
      </c>
      <c r="D335" s="10" t="s">
        <v>498</v>
      </c>
      <c r="E335" s="11" t="s">
        <v>16</v>
      </c>
      <c r="F335" s="10" t="s">
        <v>499</v>
      </c>
      <c r="G335" s="10" t="s">
        <v>468</v>
      </c>
      <c r="H335" s="11">
        <v>40</v>
      </c>
      <c r="I335" s="10" t="s">
        <v>470</v>
      </c>
      <c r="J335" s="11">
        <v>1</v>
      </c>
      <c r="K335" s="7" t="str">
        <f t="shared" si="4"/>
        <v>C351</v>
      </c>
      <c r="L335" s="8"/>
      <c r="M335" s="9" t="str">
        <f t="shared" si="5"/>
        <v>THP1615</v>
      </c>
      <c r="N335" s="9">
        <f t="shared" si="6"/>
        <v>7</v>
      </c>
      <c r="O335" s="9" t="str">
        <f t="shared" si="7"/>
        <v>K/1THP1615</v>
      </c>
    </row>
    <row r="336" spans="1:15" ht="17.5" x14ac:dyDescent="0.55000000000000004">
      <c r="A336" s="5" t="s">
        <v>465</v>
      </c>
      <c r="B336" s="5" t="s">
        <v>52</v>
      </c>
      <c r="C336" s="5" t="s">
        <v>25</v>
      </c>
      <c r="D336" s="5" t="s">
        <v>500</v>
      </c>
      <c r="E336" s="6" t="s">
        <v>16</v>
      </c>
      <c r="F336" s="5" t="s">
        <v>501</v>
      </c>
      <c r="G336" s="5" t="s">
        <v>468</v>
      </c>
      <c r="H336" s="6">
        <v>40</v>
      </c>
      <c r="I336" s="5" t="s">
        <v>469</v>
      </c>
      <c r="J336" s="6">
        <v>1</v>
      </c>
      <c r="K336" s="7" t="str">
        <f t="shared" si="4"/>
        <v>C351</v>
      </c>
      <c r="L336" s="8"/>
      <c r="M336" s="9" t="str">
        <f t="shared" si="5"/>
        <v>THP1531</v>
      </c>
      <c r="N336" s="9">
        <f t="shared" si="6"/>
        <v>7</v>
      </c>
      <c r="O336" s="9" t="str">
        <f t="shared" si="7"/>
        <v>K/1THP1531</v>
      </c>
    </row>
    <row r="337" spans="1:15" ht="17.5" x14ac:dyDescent="0.55000000000000004">
      <c r="A337" s="10" t="s">
        <v>465</v>
      </c>
      <c r="B337" s="10" t="s">
        <v>52</v>
      </c>
      <c r="C337" s="10" t="s">
        <v>49</v>
      </c>
      <c r="D337" s="10" t="s">
        <v>496</v>
      </c>
      <c r="E337" s="11" t="s">
        <v>50</v>
      </c>
      <c r="F337" s="10" t="s">
        <v>497</v>
      </c>
      <c r="G337" s="10" t="s">
        <v>17</v>
      </c>
      <c r="H337" s="11">
        <v>0</v>
      </c>
      <c r="I337" s="10" t="s">
        <v>469</v>
      </c>
      <c r="J337" s="11">
        <v>1</v>
      </c>
      <c r="K337" s="7" t="str">
        <f t="shared" si="4"/>
        <v>C351</v>
      </c>
      <c r="L337" s="8"/>
      <c r="M337" s="9" t="str">
        <f t="shared" si="5"/>
        <v>THP1536</v>
      </c>
      <c r="N337" s="9">
        <f t="shared" si="6"/>
        <v>7</v>
      </c>
      <c r="O337" s="9" t="str">
        <f t="shared" si="7"/>
        <v>P/1THP1536</v>
      </c>
    </row>
    <row r="338" spans="1:15" ht="17.5" x14ac:dyDescent="0.55000000000000004">
      <c r="A338" s="5" t="s">
        <v>465</v>
      </c>
      <c r="B338" s="5" t="s">
        <v>52</v>
      </c>
      <c r="C338" s="5" t="s">
        <v>49</v>
      </c>
      <c r="D338" s="5" t="s">
        <v>498</v>
      </c>
      <c r="E338" s="6" t="s">
        <v>50</v>
      </c>
      <c r="F338" s="5" t="s">
        <v>499</v>
      </c>
      <c r="G338" s="5" t="s">
        <v>17</v>
      </c>
      <c r="H338" s="6">
        <v>0</v>
      </c>
      <c r="I338" s="5" t="s">
        <v>470</v>
      </c>
      <c r="J338" s="6">
        <v>1</v>
      </c>
      <c r="K338" s="7" t="str">
        <f t="shared" si="4"/>
        <v>C351</v>
      </c>
      <c r="L338" s="8"/>
      <c r="M338" s="9" t="str">
        <f t="shared" si="5"/>
        <v>THP1615</v>
      </c>
      <c r="N338" s="9">
        <f t="shared" si="6"/>
        <v>7</v>
      </c>
      <c r="O338" s="9" t="str">
        <f t="shared" si="7"/>
        <v>P/1THP1615</v>
      </c>
    </row>
    <row r="339" spans="1:15" ht="17.5" x14ac:dyDescent="0.55000000000000004">
      <c r="A339" s="10" t="s">
        <v>465</v>
      </c>
      <c r="B339" s="10" t="s">
        <v>52</v>
      </c>
      <c r="C339" s="10" t="s">
        <v>502</v>
      </c>
      <c r="D339" s="10" t="s">
        <v>500</v>
      </c>
      <c r="E339" s="11" t="s">
        <v>50</v>
      </c>
      <c r="F339" s="10" t="s">
        <v>501</v>
      </c>
      <c r="G339" s="10" t="s">
        <v>17</v>
      </c>
      <c r="H339" s="11">
        <v>0</v>
      </c>
      <c r="I339" s="10" t="s">
        <v>469</v>
      </c>
      <c r="J339" s="11">
        <v>1</v>
      </c>
      <c r="K339" s="7" t="str">
        <f t="shared" si="4"/>
        <v>C351</v>
      </c>
      <c r="L339" s="8"/>
      <c r="M339" s="9" t="str">
        <f t="shared" si="5"/>
        <v>THP1531</v>
      </c>
      <c r="N339" s="9">
        <f t="shared" si="6"/>
        <v>7</v>
      </c>
      <c r="O339" s="9" t="str">
        <f t="shared" si="7"/>
        <v>P/1THP1531</v>
      </c>
    </row>
    <row r="340" spans="1:15" ht="17.5" x14ac:dyDescent="0.55000000000000004">
      <c r="A340" s="5" t="s">
        <v>503</v>
      </c>
      <c r="B340" s="5" t="s">
        <v>13</v>
      </c>
      <c r="C340" s="5" t="s">
        <v>14</v>
      </c>
      <c r="D340" s="5" t="s">
        <v>504</v>
      </c>
      <c r="E340" s="6" t="s">
        <v>16</v>
      </c>
      <c r="F340" s="5" t="s">
        <v>505</v>
      </c>
      <c r="G340" s="5" t="s">
        <v>506</v>
      </c>
      <c r="H340" s="6">
        <v>20</v>
      </c>
      <c r="I340" s="5" t="s">
        <v>507</v>
      </c>
      <c r="J340" s="6">
        <v>2</v>
      </c>
      <c r="K340" s="7" t="str">
        <f t="shared" si="4"/>
        <v>C453</v>
      </c>
      <c r="L340" s="8"/>
      <c r="M340" s="9" t="str">
        <f t="shared" si="5"/>
        <v>TPL1522</v>
      </c>
      <c r="N340" s="9">
        <f t="shared" si="6"/>
        <v>7</v>
      </c>
      <c r="O340" s="9" t="str">
        <f t="shared" si="7"/>
        <v>K/1TPL1522</v>
      </c>
    </row>
    <row r="341" spans="1:15" ht="17.5" x14ac:dyDescent="0.55000000000000004">
      <c r="A341" s="10" t="s">
        <v>503</v>
      </c>
      <c r="B341" s="10" t="s">
        <v>13</v>
      </c>
      <c r="C341" s="10" t="s">
        <v>14</v>
      </c>
      <c r="D341" s="10" t="s">
        <v>508</v>
      </c>
      <c r="E341" s="11" t="s">
        <v>16</v>
      </c>
      <c r="F341" s="10" t="s">
        <v>509</v>
      </c>
      <c r="G341" s="10" t="s">
        <v>510</v>
      </c>
      <c r="H341" s="11">
        <v>10</v>
      </c>
      <c r="I341" s="10" t="s">
        <v>507</v>
      </c>
      <c r="J341" s="11">
        <v>2</v>
      </c>
      <c r="K341" s="7" t="str">
        <f t="shared" si="4"/>
        <v>C453</v>
      </c>
      <c r="L341" s="8"/>
      <c r="M341" s="9" t="str">
        <f t="shared" si="5"/>
        <v>TPL1533</v>
      </c>
      <c r="N341" s="9">
        <f t="shared" si="6"/>
        <v>7</v>
      </c>
      <c r="O341" s="9" t="str">
        <f t="shared" si="7"/>
        <v>K/1TPL1533</v>
      </c>
    </row>
    <row r="342" spans="1:15" ht="17.5" x14ac:dyDescent="0.55000000000000004">
      <c r="A342" s="5" t="s">
        <v>503</v>
      </c>
      <c r="B342" s="5" t="s">
        <v>13</v>
      </c>
      <c r="C342" s="5" t="s">
        <v>191</v>
      </c>
      <c r="D342" s="5" t="s">
        <v>511</v>
      </c>
      <c r="E342" s="6" t="s">
        <v>16</v>
      </c>
      <c r="F342" s="5" t="s">
        <v>512</v>
      </c>
      <c r="G342" s="5" t="s">
        <v>17</v>
      </c>
      <c r="H342" s="6">
        <v>0</v>
      </c>
      <c r="I342" s="5" t="s">
        <v>507</v>
      </c>
      <c r="J342" s="6">
        <v>2</v>
      </c>
      <c r="K342" s="7" t="str">
        <f t="shared" si="4"/>
        <v>C453</v>
      </c>
      <c r="L342" s="8"/>
      <c r="M342" s="9" t="str">
        <f t="shared" si="5"/>
        <v>TPL1512</v>
      </c>
      <c r="N342" s="9">
        <f t="shared" si="6"/>
        <v>7</v>
      </c>
      <c r="O342" s="9" t="str">
        <f t="shared" si="7"/>
        <v>K/1TPL1512</v>
      </c>
    </row>
    <row r="343" spans="1:15" ht="17.5" x14ac:dyDescent="0.55000000000000004">
      <c r="A343" s="10" t="s">
        <v>503</v>
      </c>
      <c r="B343" s="10" t="s">
        <v>13</v>
      </c>
      <c r="C343" s="10" t="s">
        <v>64</v>
      </c>
      <c r="D343" s="10" t="s">
        <v>513</v>
      </c>
      <c r="E343" s="11" t="s">
        <v>16</v>
      </c>
      <c r="F343" s="10" t="s">
        <v>514</v>
      </c>
      <c r="G343" s="10" t="s">
        <v>515</v>
      </c>
      <c r="H343" s="11">
        <v>50</v>
      </c>
      <c r="I343" s="10" t="s">
        <v>507</v>
      </c>
      <c r="J343" s="11">
        <v>2</v>
      </c>
      <c r="K343" s="7" t="str">
        <f t="shared" si="4"/>
        <v>C453</v>
      </c>
      <c r="L343" s="8"/>
      <c r="M343" s="9" t="str">
        <f t="shared" si="5"/>
        <v>TPL1523</v>
      </c>
      <c r="N343" s="9">
        <f t="shared" si="6"/>
        <v>7</v>
      </c>
      <c r="O343" s="9" t="str">
        <f t="shared" si="7"/>
        <v>K/1TPL1523</v>
      </c>
    </row>
    <row r="344" spans="1:15" ht="17.5" x14ac:dyDescent="0.55000000000000004">
      <c r="A344" s="5" t="s">
        <v>503</v>
      </c>
      <c r="B344" s="5" t="s">
        <v>13</v>
      </c>
      <c r="C344" s="5" t="s">
        <v>210</v>
      </c>
      <c r="D344" s="5" t="s">
        <v>516</v>
      </c>
      <c r="E344" s="6" t="s">
        <v>16</v>
      </c>
      <c r="F344" s="5" t="s">
        <v>517</v>
      </c>
      <c r="G344" s="5" t="s">
        <v>17</v>
      </c>
      <c r="H344" s="6">
        <v>0</v>
      </c>
      <c r="I344" s="5" t="s">
        <v>507</v>
      </c>
      <c r="J344" s="6">
        <v>2</v>
      </c>
      <c r="K344" s="7" t="str">
        <f t="shared" si="4"/>
        <v>C453</v>
      </c>
      <c r="L344" s="8"/>
      <c r="M344" s="9" t="str">
        <f t="shared" si="5"/>
        <v>TPL1536</v>
      </c>
      <c r="N344" s="9">
        <f t="shared" si="6"/>
        <v>7</v>
      </c>
      <c r="O344" s="9" t="str">
        <f t="shared" si="7"/>
        <v>K/1TPL1536</v>
      </c>
    </row>
    <row r="345" spans="1:15" ht="17.5" x14ac:dyDescent="0.55000000000000004">
      <c r="A345" s="10" t="s">
        <v>503</v>
      </c>
      <c r="B345" s="10" t="s">
        <v>31</v>
      </c>
      <c r="C345" s="10" t="s">
        <v>426</v>
      </c>
      <c r="D345" s="10" t="s">
        <v>504</v>
      </c>
      <c r="E345" s="11" t="s">
        <v>50</v>
      </c>
      <c r="F345" s="10" t="s">
        <v>505</v>
      </c>
      <c r="G345" s="10" t="s">
        <v>506</v>
      </c>
      <c r="H345" s="11">
        <v>20</v>
      </c>
      <c r="I345" s="10" t="s">
        <v>507</v>
      </c>
      <c r="J345" s="11">
        <v>2</v>
      </c>
      <c r="K345" s="7" t="str">
        <f t="shared" si="4"/>
        <v>C453</v>
      </c>
      <c r="L345" s="8"/>
      <c r="M345" s="9" t="str">
        <f t="shared" si="5"/>
        <v>TPL1522</v>
      </c>
      <c r="N345" s="9">
        <f t="shared" si="6"/>
        <v>7</v>
      </c>
      <c r="O345" s="9" t="str">
        <f t="shared" si="7"/>
        <v>P/1TPL1522</v>
      </c>
    </row>
    <row r="346" spans="1:15" ht="17.5" x14ac:dyDescent="0.55000000000000004">
      <c r="A346" s="5" t="s">
        <v>503</v>
      </c>
      <c r="B346" s="5" t="s">
        <v>31</v>
      </c>
      <c r="C346" s="5" t="s">
        <v>256</v>
      </c>
      <c r="D346" s="5" t="s">
        <v>511</v>
      </c>
      <c r="E346" s="6" t="s">
        <v>50</v>
      </c>
      <c r="F346" s="5" t="s">
        <v>512</v>
      </c>
      <c r="G346" s="5" t="s">
        <v>518</v>
      </c>
      <c r="H346" s="6">
        <v>10</v>
      </c>
      <c r="I346" s="5" t="s">
        <v>507</v>
      </c>
      <c r="J346" s="6">
        <v>1</v>
      </c>
      <c r="K346" s="7" t="str">
        <f t="shared" si="4"/>
        <v>C453</v>
      </c>
      <c r="L346" s="8"/>
      <c r="M346" s="9" t="str">
        <f t="shared" si="5"/>
        <v>TPL1512</v>
      </c>
      <c r="N346" s="9">
        <f t="shared" si="6"/>
        <v>7</v>
      </c>
      <c r="O346" s="9" t="str">
        <f t="shared" si="7"/>
        <v>P/1TPL1512</v>
      </c>
    </row>
    <row r="347" spans="1:15" ht="17.5" x14ac:dyDescent="0.55000000000000004">
      <c r="A347" s="10" t="s">
        <v>503</v>
      </c>
      <c r="B347" s="10" t="s">
        <v>31</v>
      </c>
      <c r="C347" s="10" t="s">
        <v>502</v>
      </c>
      <c r="D347" s="10" t="s">
        <v>516</v>
      </c>
      <c r="E347" s="11" t="s">
        <v>50</v>
      </c>
      <c r="F347" s="10" t="s">
        <v>517</v>
      </c>
      <c r="G347" s="10" t="s">
        <v>17</v>
      </c>
      <c r="H347" s="11">
        <v>0</v>
      </c>
      <c r="I347" s="10" t="s">
        <v>507</v>
      </c>
      <c r="J347" s="11">
        <v>2</v>
      </c>
      <c r="K347" s="7" t="str">
        <f t="shared" si="4"/>
        <v>C453</v>
      </c>
      <c r="L347" s="8"/>
      <c r="M347" s="9" t="str">
        <f t="shared" si="5"/>
        <v>TPL1536</v>
      </c>
      <c r="N347" s="9">
        <f t="shared" si="6"/>
        <v>7</v>
      </c>
      <c r="O347" s="9" t="str">
        <f t="shared" si="7"/>
        <v>P/1TPL1536</v>
      </c>
    </row>
    <row r="348" spans="1:15" ht="17.5" x14ac:dyDescent="0.55000000000000004">
      <c r="A348" s="5" t="s">
        <v>503</v>
      </c>
      <c r="B348" s="5" t="s">
        <v>41</v>
      </c>
      <c r="C348" s="5" t="s">
        <v>14</v>
      </c>
      <c r="D348" s="5" t="s">
        <v>519</v>
      </c>
      <c r="E348" s="6" t="s">
        <v>16</v>
      </c>
      <c r="F348" s="5" t="s">
        <v>514</v>
      </c>
      <c r="G348" s="5" t="s">
        <v>515</v>
      </c>
      <c r="H348" s="6">
        <v>50</v>
      </c>
      <c r="I348" s="5" t="s">
        <v>507</v>
      </c>
      <c r="J348" s="6">
        <v>2</v>
      </c>
      <c r="K348" s="7" t="str">
        <f t="shared" si="4"/>
        <v>C453</v>
      </c>
      <c r="L348" s="8"/>
      <c r="M348" s="9" t="str">
        <f t="shared" si="5"/>
        <v>TPL1521</v>
      </c>
      <c r="N348" s="9">
        <f t="shared" si="6"/>
        <v>7</v>
      </c>
      <c r="O348" s="9" t="str">
        <f t="shared" si="7"/>
        <v>K/1TPL1521</v>
      </c>
    </row>
    <row r="349" spans="1:15" ht="17.5" x14ac:dyDescent="0.55000000000000004">
      <c r="A349" s="10" t="s">
        <v>503</v>
      </c>
      <c r="B349" s="10" t="s">
        <v>41</v>
      </c>
      <c r="C349" s="10" t="s">
        <v>14</v>
      </c>
      <c r="D349" s="10" t="s">
        <v>520</v>
      </c>
      <c r="E349" s="11" t="s">
        <v>16</v>
      </c>
      <c r="F349" s="10" t="s">
        <v>521</v>
      </c>
      <c r="G349" s="10" t="s">
        <v>506</v>
      </c>
      <c r="H349" s="11">
        <v>20</v>
      </c>
      <c r="I349" s="10" t="s">
        <v>507</v>
      </c>
      <c r="J349" s="11">
        <v>2</v>
      </c>
      <c r="K349" s="7" t="str">
        <f t="shared" si="4"/>
        <v>C453</v>
      </c>
      <c r="L349" s="8"/>
      <c r="M349" s="9" t="str">
        <f t="shared" si="5"/>
        <v>TPL1531</v>
      </c>
      <c r="N349" s="9">
        <f t="shared" si="6"/>
        <v>7</v>
      </c>
      <c r="O349" s="9" t="str">
        <f t="shared" si="7"/>
        <v>K/1TPL1531</v>
      </c>
    </row>
    <row r="350" spans="1:15" ht="17.5" x14ac:dyDescent="0.55000000000000004">
      <c r="A350" s="5" t="s">
        <v>503</v>
      </c>
      <c r="B350" s="5" t="s">
        <v>41</v>
      </c>
      <c r="C350" s="5" t="s">
        <v>14</v>
      </c>
      <c r="D350" s="5" t="s">
        <v>522</v>
      </c>
      <c r="E350" s="6" t="s">
        <v>16</v>
      </c>
      <c r="F350" s="5" t="s">
        <v>523</v>
      </c>
      <c r="G350" s="5" t="s">
        <v>518</v>
      </c>
      <c r="H350" s="6">
        <v>10</v>
      </c>
      <c r="I350" s="5" t="s">
        <v>507</v>
      </c>
      <c r="J350" s="6">
        <v>2</v>
      </c>
      <c r="K350" s="7" t="str">
        <f t="shared" si="4"/>
        <v>C453</v>
      </c>
      <c r="L350" s="8"/>
      <c r="M350" s="9" t="str">
        <f t="shared" si="5"/>
        <v>TPL1542</v>
      </c>
      <c r="N350" s="9">
        <f t="shared" si="6"/>
        <v>7</v>
      </c>
      <c r="O350" s="9" t="str">
        <f t="shared" si="7"/>
        <v>K/1TPL1542</v>
      </c>
    </row>
    <row r="351" spans="1:15" ht="17.5" x14ac:dyDescent="0.55000000000000004">
      <c r="A351" s="10" t="s">
        <v>503</v>
      </c>
      <c r="B351" s="10" t="s">
        <v>41</v>
      </c>
      <c r="C351" s="10" t="s">
        <v>14</v>
      </c>
      <c r="D351" s="10" t="s">
        <v>524</v>
      </c>
      <c r="E351" s="11" t="s">
        <v>16</v>
      </c>
      <c r="F351" s="10" t="s">
        <v>525</v>
      </c>
      <c r="G351" s="10" t="s">
        <v>510</v>
      </c>
      <c r="H351" s="11">
        <v>10</v>
      </c>
      <c r="I351" s="10" t="s">
        <v>526</v>
      </c>
      <c r="J351" s="11">
        <v>2</v>
      </c>
      <c r="K351" s="7" t="str">
        <f t="shared" si="4"/>
        <v>C453</v>
      </c>
      <c r="L351" s="8"/>
      <c r="M351" s="9" t="str">
        <f t="shared" si="5"/>
        <v>TPL1614</v>
      </c>
      <c r="N351" s="9">
        <f t="shared" si="6"/>
        <v>7</v>
      </c>
      <c r="O351" s="9" t="str">
        <f t="shared" si="7"/>
        <v>K/1TPL1614</v>
      </c>
    </row>
    <row r="352" spans="1:15" ht="17.5" x14ac:dyDescent="0.55000000000000004">
      <c r="A352" s="5" t="s">
        <v>503</v>
      </c>
      <c r="B352" s="5" t="s">
        <v>41</v>
      </c>
      <c r="C352" s="5" t="s">
        <v>64</v>
      </c>
      <c r="D352" s="5" t="s">
        <v>527</v>
      </c>
      <c r="E352" s="6" t="s">
        <v>16</v>
      </c>
      <c r="F352" s="5" t="s">
        <v>40</v>
      </c>
      <c r="G352" s="5" t="s">
        <v>518</v>
      </c>
      <c r="H352" s="6">
        <v>10</v>
      </c>
      <c r="I352" s="5" t="s">
        <v>507</v>
      </c>
      <c r="J352" s="6">
        <v>2</v>
      </c>
      <c r="K352" s="7" t="str">
        <f t="shared" si="4"/>
        <v>C453</v>
      </c>
      <c r="L352" s="8"/>
      <c r="M352" s="9" t="str">
        <f t="shared" si="5"/>
        <v>TPL1553</v>
      </c>
      <c r="N352" s="9">
        <f t="shared" si="6"/>
        <v>7</v>
      </c>
      <c r="O352" s="9" t="str">
        <f t="shared" si="7"/>
        <v>K/1TPL1553</v>
      </c>
    </row>
    <row r="353" spans="1:15" ht="17.5" x14ac:dyDescent="0.55000000000000004">
      <c r="A353" s="10" t="s">
        <v>503</v>
      </c>
      <c r="B353" s="10" t="s">
        <v>41</v>
      </c>
      <c r="C353" s="10" t="s">
        <v>49</v>
      </c>
      <c r="D353" s="10" t="s">
        <v>513</v>
      </c>
      <c r="E353" s="11" t="s">
        <v>50</v>
      </c>
      <c r="F353" s="10" t="s">
        <v>514</v>
      </c>
      <c r="G353" s="10" t="s">
        <v>515</v>
      </c>
      <c r="H353" s="11">
        <v>50</v>
      </c>
      <c r="I353" s="10" t="s">
        <v>507</v>
      </c>
      <c r="J353" s="11">
        <v>2</v>
      </c>
      <c r="K353" s="7" t="str">
        <f t="shared" si="4"/>
        <v>C453</v>
      </c>
      <c r="L353" s="8"/>
      <c r="M353" s="9" t="str">
        <f t="shared" si="5"/>
        <v>TPL1523</v>
      </c>
      <c r="N353" s="9">
        <f t="shared" si="6"/>
        <v>7</v>
      </c>
      <c r="O353" s="9" t="str">
        <f t="shared" si="7"/>
        <v>P/1TPL1523</v>
      </c>
    </row>
    <row r="354" spans="1:15" ht="17.5" x14ac:dyDescent="0.55000000000000004">
      <c r="A354" s="5" t="s">
        <v>503</v>
      </c>
      <c r="B354" s="5" t="s">
        <v>41</v>
      </c>
      <c r="C354" s="5" t="s">
        <v>198</v>
      </c>
      <c r="D354" s="5" t="s">
        <v>528</v>
      </c>
      <c r="E354" s="6" t="s">
        <v>16</v>
      </c>
      <c r="F354" s="5" t="s">
        <v>529</v>
      </c>
      <c r="G354" s="5" t="s">
        <v>17</v>
      </c>
      <c r="H354" s="6">
        <v>0</v>
      </c>
      <c r="I354" s="5" t="s">
        <v>507</v>
      </c>
      <c r="J354" s="6">
        <v>2</v>
      </c>
      <c r="K354" s="7" t="str">
        <f t="shared" si="4"/>
        <v>C453</v>
      </c>
      <c r="L354" s="8"/>
      <c r="M354" s="9" t="str">
        <f t="shared" si="5"/>
        <v>TPL1532</v>
      </c>
      <c r="N354" s="9">
        <f t="shared" si="6"/>
        <v>7</v>
      </c>
      <c r="O354" s="9" t="str">
        <f t="shared" si="7"/>
        <v>K/1TPL1532</v>
      </c>
    </row>
    <row r="355" spans="1:15" ht="17.5" x14ac:dyDescent="0.55000000000000004">
      <c r="A355" s="10" t="s">
        <v>503</v>
      </c>
      <c r="B355" s="10" t="s">
        <v>47</v>
      </c>
      <c r="C355" s="10" t="s">
        <v>530</v>
      </c>
      <c r="D355" s="10" t="s">
        <v>522</v>
      </c>
      <c r="E355" s="11" t="s">
        <v>50</v>
      </c>
      <c r="F355" s="10" t="s">
        <v>523</v>
      </c>
      <c r="G355" s="10" t="s">
        <v>515</v>
      </c>
      <c r="H355" s="11">
        <v>50</v>
      </c>
      <c r="I355" s="10" t="s">
        <v>507</v>
      </c>
      <c r="J355" s="11">
        <v>2</v>
      </c>
      <c r="K355" s="7" t="str">
        <f t="shared" si="4"/>
        <v>C453</v>
      </c>
      <c r="L355" s="8"/>
      <c r="M355" s="9" t="str">
        <f t="shared" si="5"/>
        <v>TPL1542</v>
      </c>
      <c r="N355" s="9">
        <f t="shared" si="6"/>
        <v>7</v>
      </c>
      <c r="O355" s="9" t="str">
        <f t="shared" si="7"/>
        <v>P/1TPL1542</v>
      </c>
    </row>
    <row r="356" spans="1:15" ht="17.5" x14ac:dyDescent="0.55000000000000004">
      <c r="A356" s="5" t="s">
        <v>503</v>
      </c>
      <c r="B356" s="5" t="s">
        <v>47</v>
      </c>
      <c r="C356" s="5" t="s">
        <v>14</v>
      </c>
      <c r="D356" s="5" t="s">
        <v>531</v>
      </c>
      <c r="E356" s="6" t="s">
        <v>16</v>
      </c>
      <c r="F356" s="5" t="s">
        <v>532</v>
      </c>
      <c r="G356" s="5" t="s">
        <v>518</v>
      </c>
      <c r="H356" s="6">
        <v>10</v>
      </c>
      <c r="I356" s="5" t="s">
        <v>507</v>
      </c>
      <c r="J356" s="6">
        <v>2</v>
      </c>
      <c r="K356" s="7" t="str">
        <f t="shared" si="4"/>
        <v>C453</v>
      </c>
      <c r="L356" s="8"/>
      <c r="M356" s="9" t="str">
        <f t="shared" si="5"/>
        <v>TPL1552</v>
      </c>
      <c r="N356" s="9">
        <f t="shared" si="6"/>
        <v>7</v>
      </c>
      <c r="O356" s="9" t="str">
        <f t="shared" si="7"/>
        <v>K/1TPL1552</v>
      </c>
    </row>
    <row r="357" spans="1:15" ht="17.5" x14ac:dyDescent="0.55000000000000004">
      <c r="A357" s="10" t="s">
        <v>503</v>
      </c>
      <c r="B357" s="10" t="s">
        <v>47</v>
      </c>
      <c r="C357" s="10" t="s">
        <v>426</v>
      </c>
      <c r="D357" s="10" t="s">
        <v>520</v>
      </c>
      <c r="E357" s="11" t="s">
        <v>50</v>
      </c>
      <c r="F357" s="10" t="s">
        <v>521</v>
      </c>
      <c r="G357" s="10" t="s">
        <v>506</v>
      </c>
      <c r="H357" s="11">
        <v>20</v>
      </c>
      <c r="I357" s="10" t="s">
        <v>507</v>
      </c>
      <c r="J357" s="11">
        <v>2</v>
      </c>
      <c r="K357" s="7" t="str">
        <f t="shared" si="4"/>
        <v>C453</v>
      </c>
      <c r="L357" s="8"/>
      <c r="M357" s="9" t="str">
        <f t="shared" si="5"/>
        <v>TPL1531</v>
      </c>
      <c r="N357" s="9">
        <f t="shared" si="6"/>
        <v>7</v>
      </c>
      <c r="O357" s="9" t="str">
        <f t="shared" si="7"/>
        <v>P/1TPL1531</v>
      </c>
    </row>
    <row r="358" spans="1:15" ht="17.5" x14ac:dyDescent="0.55000000000000004">
      <c r="A358" s="5" t="s">
        <v>503</v>
      </c>
      <c r="B358" s="5" t="s">
        <v>47</v>
      </c>
      <c r="C358" s="5" t="s">
        <v>426</v>
      </c>
      <c r="D358" s="5" t="s">
        <v>524</v>
      </c>
      <c r="E358" s="6" t="s">
        <v>50</v>
      </c>
      <c r="F358" s="5" t="s">
        <v>525</v>
      </c>
      <c r="G358" s="5" t="s">
        <v>510</v>
      </c>
      <c r="H358" s="6">
        <v>10</v>
      </c>
      <c r="I358" s="5" t="s">
        <v>526</v>
      </c>
      <c r="J358" s="6">
        <v>2</v>
      </c>
      <c r="K358" s="7" t="str">
        <f t="shared" si="4"/>
        <v>C453</v>
      </c>
      <c r="L358" s="8"/>
      <c r="M358" s="9" t="str">
        <f t="shared" si="5"/>
        <v>TPL1614</v>
      </c>
      <c r="N358" s="9">
        <f t="shared" si="6"/>
        <v>7</v>
      </c>
      <c r="O358" s="9" t="str">
        <f t="shared" si="7"/>
        <v>P/1TPL1614</v>
      </c>
    </row>
    <row r="359" spans="1:15" ht="17.5" x14ac:dyDescent="0.55000000000000004">
      <c r="A359" s="10" t="s">
        <v>503</v>
      </c>
      <c r="B359" s="10" t="s">
        <v>47</v>
      </c>
      <c r="C359" s="10" t="s">
        <v>533</v>
      </c>
      <c r="D359" s="10" t="s">
        <v>534</v>
      </c>
      <c r="E359" s="11" t="s">
        <v>16</v>
      </c>
      <c r="F359" s="10" t="s">
        <v>523</v>
      </c>
      <c r="G359" s="10" t="s">
        <v>515</v>
      </c>
      <c r="H359" s="11">
        <v>50</v>
      </c>
      <c r="I359" s="10" t="s">
        <v>526</v>
      </c>
      <c r="J359" s="11">
        <v>2</v>
      </c>
      <c r="K359" s="7" t="str">
        <f t="shared" si="4"/>
        <v>C453</v>
      </c>
      <c r="L359" s="8"/>
      <c r="M359" s="9" t="str">
        <f t="shared" si="5"/>
        <v>TPL1647</v>
      </c>
      <c r="N359" s="9">
        <f t="shared" si="6"/>
        <v>7</v>
      </c>
      <c r="O359" s="9" t="str">
        <f t="shared" si="7"/>
        <v>K/1TPL1647</v>
      </c>
    </row>
    <row r="360" spans="1:15" ht="17.5" x14ac:dyDescent="0.55000000000000004">
      <c r="A360" s="5" t="s">
        <v>503</v>
      </c>
      <c r="B360" s="5" t="s">
        <v>47</v>
      </c>
      <c r="C360" s="5" t="s">
        <v>64</v>
      </c>
      <c r="D360" s="5" t="s">
        <v>535</v>
      </c>
      <c r="E360" s="6" t="s">
        <v>16</v>
      </c>
      <c r="F360" s="5" t="s">
        <v>536</v>
      </c>
      <c r="G360" s="5" t="s">
        <v>518</v>
      </c>
      <c r="H360" s="6">
        <v>10</v>
      </c>
      <c r="I360" s="5" t="s">
        <v>507</v>
      </c>
      <c r="J360" s="6">
        <v>2</v>
      </c>
      <c r="K360" s="7" t="str">
        <f t="shared" si="4"/>
        <v>C453</v>
      </c>
      <c r="L360" s="8"/>
      <c r="M360" s="9" t="str">
        <f t="shared" si="5"/>
        <v>TPL1545</v>
      </c>
      <c r="N360" s="9">
        <f t="shared" si="6"/>
        <v>7</v>
      </c>
      <c r="O360" s="9" t="str">
        <f t="shared" si="7"/>
        <v>K/1TPL1545</v>
      </c>
    </row>
    <row r="361" spans="1:15" ht="17.5" x14ac:dyDescent="0.55000000000000004">
      <c r="A361" s="10" t="s">
        <v>503</v>
      </c>
      <c r="B361" s="10" t="s">
        <v>47</v>
      </c>
      <c r="C361" s="10" t="s">
        <v>49</v>
      </c>
      <c r="D361" s="10" t="s">
        <v>519</v>
      </c>
      <c r="E361" s="11" t="s">
        <v>50</v>
      </c>
      <c r="F361" s="10" t="s">
        <v>514</v>
      </c>
      <c r="G361" s="10" t="s">
        <v>515</v>
      </c>
      <c r="H361" s="11">
        <v>50</v>
      </c>
      <c r="I361" s="10" t="s">
        <v>507</v>
      </c>
      <c r="J361" s="11">
        <v>2</v>
      </c>
      <c r="K361" s="7" t="str">
        <f t="shared" si="4"/>
        <v>C453</v>
      </c>
      <c r="L361" s="8"/>
      <c r="M361" s="9" t="str">
        <f t="shared" si="5"/>
        <v>TPL1521</v>
      </c>
      <c r="N361" s="9">
        <f t="shared" si="6"/>
        <v>7</v>
      </c>
      <c r="O361" s="9" t="str">
        <f t="shared" si="7"/>
        <v>P/1TPL1521</v>
      </c>
    </row>
    <row r="362" spans="1:15" ht="17.5" x14ac:dyDescent="0.55000000000000004">
      <c r="A362" s="5" t="s">
        <v>503</v>
      </c>
      <c r="B362" s="5" t="s">
        <v>47</v>
      </c>
      <c r="C362" s="5" t="s">
        <v>502</v>
      </c>
      <c r="D362" s="5" t="s">
        <v>528</v>
      </c>
      <c r="E362" s="6" t="s">
        <v>50</v>
      </c>
      <c r="F362" s="5" t="s">
        <v>529</v>
      </c>
      <c r="G362" s="5" t="s">
        <v>17</v>
      </c>
      <c r="H362" s="6">
        <v>0</v>
      </c>
      <c r="I362" s="5" t="s">
        <v>507</v>
      </c>
      <c r="J362" s="6">
        <v>2</v>
      </c>
      <c r="K362" s="7" t="str">
        <f t="shared" si="4"/>
        <v>C453</v>
      </c>
      <c r="L362" s="8"/>
      <c r="M362" s="9" t="str">
        <f t="shared" si="5"/>
        <v>TPL1532</v>
      </c>
      <c r="N362" s="9">
        <f t="shared" si="6"/>
        <v>7</v>
      </c>
      <c r="O362" s="9" t="str">
        <f t="shared" si="7"/>
        <v>P/1TPL1532</v>
      </c>
    </row>
    <row r="363" spans="1:15" ht="17.5" x14ac:dyDescent="0.55000000000000004">
      <c r="A363" s="10" t="s">
        <v>503</v>
      </c>
      <c r="B363" s="10" t="s">
        <v>52</v>
      </c>
      <c r="C363" s="10" t="s">
        <v>14</v>
      </c>
      <c r="D363" s="10" t="s">
        <v>537</v>
      </c>
      <c r="E363" s="11" t="s">
        <v>16</v>
      </c>
      <c r="F363" s="10" t="s">
        <v>538</v>
      </c>
      <c r="G363" s="10" t="s">
        <v>515</v>
      </c>
      <c r="H363" s="11">
        <v>50</v>
      </c>
      <c r="I363" s="10" t="s">
        <v>507</v>
      </c>
      <c r="J363" s="11">
        <v>2</v>
      </c>
      <c r="K363" s="7" t="str">
        <f t="shared" si="4"/>
        <v>C453</v>
      </c>
      <c r="L363" s="8"/>
      <c r="M363" s="9" t="str">
        <f t="shared" si="5"/>
        <v>TPL1543</v>
      </c>
      <c r="N363" s="9">
        <f t="shared" si="6"/>
        <v>7</v>
      </c>
      <c r="O363" s="9" t="str">
        <f t="shared" si="7"/>
        <v>K/1TPL1543</v>
      </c>
    </row>
    <row r="364" spans="1:15" ht="17.5" x14ac:dyDescent="0.55000000000000004">
      <c r="A364" s="5" t="s">
        <v>503</v>
      </c>
      <c r="B364" s="5" t="s">
        <v>52</v>
      </c>
      <c r="C364" s="5" t="s">
        <v>426</v>
      </c>
      <c r="D364" s="5" t="s">
        <v>527</v>
      </c>
      <c r="E364" s="6" t="s">
        <v>50</v>
      </c>
      <c r="F364" s="5" t="s">
        <v>40</v>
      </c>
      <c r="G364" s="5" t="s">
        <v>518</v>
      </c>
      <c r="H364" s="6">
        <v>10</v>
      </c>
      <c r="I364" s="5" t="s">
        <v>507</v>
      </c>
      <c r="J364" s="6">
        <v>2</v>
      </c>
      <c r="K364" s="7" t="str">
        <f t="shared" si="4"/>
        <v>C453</v>
      </c>
      <c r="L364" s="8"/>
      <c r="M364" s="9" t="str">
        <f t="shared" si="5"/>
        <v>TPL1553</v>
      </c>
      <c r="N364" s="9">
        <f t="shared" si="6"/>
        <v>7</v>
      </c>
      <c r="O364" s="9" t="str">
        <f t="shared" si="7"/>
        <v>P/1TPL1553</v>
      </c>
    </row>
    <row r="365" spans="1:15" ht="17.5" x14ac:dyDescent="0.55000000000000004">
      <c r="A365" s="10" t="s">
        <v>503</v>
      </c>
      <c r="B365" s="10" t="s">
        <v>52</v>
      </c>
      <c r="C365" s="10" t="s">
        <v>38</v>
      </c>
      <c r="D365" s="10" t="s">
        <v>539</v>
      </c>
      <c r="E365" s="11" t="s">
        <v>16</v>
      </c>
      <c r="F365" s="10" t="s">
        <v>517</v>
      </c>
      <c r="G365" s="10" t="s">
        <v>518</v>
      </c>
      <c r="H365" s="11">
        <v>10</v>
      </c>
      <c r="I365" s="10" t="s">
        <v>526</v>
      </c>
      <c r="J365" s="11">
        <v>2</v>
      </c>
      <c r="K365" s="7" t="str">
        <f t="shared" si="4"/>
        <v>C453</v>
      </c>
      <c r="L365" s="8"/>
      <c r="M365" s="9" t="str">
        <f t="shared" si="5"/>
        <v>TPL1637</v>
      </c>
      <c r="N365" s="9">
        <f t="shared" si="6"/>
        <v>7</v>
      </c>
      <c r="O365" s="9" t="str">
        <f t="shared" si="7"/>
        <v>K/1TPL1637</v>
      </c>
    </row>
    <row r="366" spans="1:15" ht="17.5" x14ac:dyDescent="0.55000000000000004">
      <c r="A366" s="5" t="s">
        <v>503</v>
      </c>
      <c r="B366" s="5" t="s">
        <v>52</v>
      </c>
      <c r="C366" s="5" t="s">
        <v>224</v>
      </c>
      <c r="D366" s="5" t="s">
        <v>531</v>
      </c>
      <c r="E366" s="6" t="s">
        <v>50</v>
      </c>
      <c r="F366" s="5" t="s">
        <v>532</v>
      </c>
      <c r="G366" s="5" t="s">
        <v>506</v>
      </c>
      <c r="H366" s="6">
        <v>20</v>
      </c>
      <c r="I366" s="5" t="s">
        <v>507</v>
      </c>
      <c r="J366" s="6">
        <v>2</v>
      </c>
      <c r="K366" s="7" t="str">
        <f t="shared" si="4"/>
        <v>C453</v>
      </c>
      <c r="L366" s="8"/>
      <c r="M366" s="9" t="str">
        <f t="shared" si="5"/>
        <v>TPL1552</v>
      </c>
      <c r="N366" s="9">
        <f t="shared" si="6"/>
        <v>7</v>
      </c>
      <c r="O366" s="9" t="str">
        <f t="shared" si="7"/>
        <v>P/1TPL1552</v>
      </c>
    </row>
    <row r="367" spans="1:15" ht="17.5" x14ac:dyDescent="0.55000000000000004">
      <c r="A367" s="10" t="s">
        <v>503</v>
      </c>
      <c r="B367" s="10" t="s">
        <v>52</v>
      </c>
      <c r="C367" s="10" t="s">
        <v>206</v>
      </c>
      <c r="D367" s="10" t="s">
        <v>534</v>
      </c>
      <c r="E367" s="11" t="s">
        <v>50</v>
      </c>
      <c r="F367" s="10" t="s">
        <v>523</v>
      </c>
      <c r="G367" s="10" t="s">
        <v>515</v>
      </c>
      <c r="H367" s="11">
        <v>50</v>
      </c>
      <c r="I367" s="10" t="s">
        <v>526</v>
      </c>
      <c r="J367" s="11">
        <v>2</v>
      </c>
      <c r="K367" s="7" t="str">
        <f t="shared" si="4"/>
        <v>C453</v>
      </c>
      <c r="L367" s="8"/>
      <c r="M367" s="9" t="str">
        <f t="shared" si="5"/>
        <v>TPL1647</v>
      </c>
      <c r="N367" s="9">
        <f t="shared" si="6"/>
        <v>7</v>
      </c>
      <c r="O367" s="9" t="str">
        <f t="shared" si="7"/>
        <v>P/1TPL1647</v>
      </c>
    </row>
    <row r="368" spans="1:15" ht="17.5" x14ac:dyDescent="0.55000000000000004">
      <c r="A368" s="12" t="s">
        <v>540</v>
      </c>
      <c r="B368" s="6" t="s">
        <v>13</v>
      </c>
      <c r="C368" s="6" t="s">
        <v>14</v>
      </c>
      <c r="D368" s="5" t="s">
        <v>541</v>
      </c>
      <c r="E368" s="6" t="s">
        <v>16</v>
      </c>
      <c r="F368" s="6" t="s">
        <v>542</v>
      </c>
      <c r="G368" s="6" t="s">
        <v>17</v>
      </c>
      <c r="H368" s="6">
        <v>0</v>
      </c>
      <c r="I368" s="6" t="s">
        <v>543</v>
      </c>
      <c r="J368" s="6">
        <v>2</v>
      </c>
      <c r="K368" s="7" t="str">
        <f t="shared" si="4"/>
        <v>C551</v>
      </c>
      <c r="L368" s="8"/>
      <c r="M368" s="9" t="str">
        <f t="shared" si="5"/>
        <v>IKL1501</v>
      </c>
      <c r="N368" s="9">
        <f t="shared" si="6"/>
        <v>7</v>
      </c>
      <c r="O368" s="9" t="str">
        <f t="shared" si="7"/>
        <v>K/1IKL1501</v>
      </c>
    </row>
    <row r="369" spans="1:15" ht="17.5" x14ac:dyDescent="0.55000000000000004">
      <c r="A369" s="13" t="s">
        <v>540</v>
      </c>
      <c r="B369" s="11" t="s">
        <v>13</v>
      </c>
      <c r="C369" s="11" t="s">
        <v>14</v>
      </c>
      <c r="D369" s="10" t="s">
        <v>544</v>
      </c>
      <c r="E369" s="11" t="s">
        <v>16</v>
      </c>
      <c r="F369" s="11" t="s">
        <v>545</v>
      </c>
      <c r="G369" s="11" t="s">
        <v>17</v>
      </c>
      <c r="H369" s="11">
        <v>0</v>
      </c>
      <c r="I369" s="11" t="s">
        <v>543</v>
      </c>
      <c r="J369" s="11">
        <v>2</v>
      </c>
      <c r="K369" s="7" t="str">
        <f t="shared" si="4"/>
        <v>C551</v>
      </c>
      <c r="L369" s="8"/>
      <c r="M369" s="9" t="str">
        <f t="shared" si="5"/>
        <v>IKL1523</v>
      </c>
      <c r="N369" s="9">
        <f t="shared" si="6"/>
        <v>7</v>
      </c>
      <c r="O369" s="9" t="str">
        <f t="shared" si="7"/>
        <v>K/1IKL1523</v>
      </c>
    </row>
    <row r="370" spans="1:15" ht="17.5" x14ac:dyDescent="0.55000000000000004">
      <c r="A370" s="12" t="s">
        <v>540</v>
      </c>
      <c r="B370" s="6" t="s">
        <v>13</v>
      </c>
      <c r="C370" s="6" t="s">
        <v>25</v>
      </c>
      <c r="D370" s="5" t="s">
        <v>546</v>
      </c>
      <c r="E370" s="6" t="s">
        <v>16</v>
      </c>
      <c r="F370" s="6"/>
      <c r="G370" s="6" t="s">
        <v>17</v>
      </c>
      <c r="H370" s="6">
        <v>0</v>
      </c>
      <c r="I370" s="6" t="s">
        <v>543</v>
      </c>
      <c r="J370" s="6">
        <v>2</v>
      </c>
      <c r="K370" s="7" t="str">
        <f t="shared" si="4"/>
        <v>C551</v>
      </c>
      <c r="L370" s="8"/>
      <c r="M370" s="9" t="str">
        <f t="shared" si="5"/>
        <v>IKL1526</v>
      </c>
      <c r="N370" s="9">
        <f t="shared" si="6"/>
        <v>7</v>
      </c>
      <c r="O370" s="9" t="str">
        <f t="shared" si="7"/>
        <v>K/1IKL1526</v>
      </c>
    </row>
    <row r="371" spans="1:15" ht="17.5" x14ac:dyDescent="0.55000000000000004">
      <c r="A371" s="13" t="s">
        <v>540</v>
      </c>
      <c r="B371" s="11" t="s">
        <v>13</v>
      </c>
      <c r="C371" s="11" t="s">
        <v>25</v>
      </c>
      <c r="D371" s="10" t="s">
        <v>547</v>
      </c>
      <c r="E371" s="11" t="s">
        <v>16</v>
      </c>
      <c r="F371" s="11" t="s">
        <v>548</v>
      </c>
      <c r="G371" s="11" t="s">
        <v>17</v>
      </c>
      <c r="H371" s="11">
        <v>0</v>
      </c>
      <c r="I371" s="11" t="s">
        <v>543</v>
      </c>
      <c r="J371" s="11">
        <v>2</v>
      </c>
      <c r="K371" s="7" t="str">
        <f t="shared" si="4"/>
        <v>C551</v>
      </c>
      <c r="L371" s="8"/>
      <c r="M371" s="9" t="str">
        <f t="shared" si="5"/>
        <v>IKL1611</v>
      </c>
      <c r="N371" s="9">
        <f t="shared" si="6"/>
        <v>7</v>
      </c>
      <c r="O371" s="9" t="str">
        <f t="shared" si="7"/>
        <v>K/1IKL1611</v>
      </c>
    </row>
    <row r="372" spans="1:15" ht="17.5" x14ac:dyDescent="0.55000000000000004">
      <c r="A372" s="12" t="s">
        <v>540</v>
      </c>
      <c r="B372" s="6" t="s">
        <v>13</v>
      </c>
      <c r="C372" s="6" t="s">
        <v>25</v>
      </c>
      <c r="D372" s="5" t="s">
        <v>549</v>
      </c>
      <c r="E372" s="6" t="s">
        <v>16</v>
      </c>
      <c r="F372" s="6" t="s">
        <v>550</v>
      </c>
      <c r="G372" s="6" t="s">
        <v>17</v>
      </c>
      <c r="H372" s="6">
        <v>0</v>
      </c>
      <c r="I372" s="6" t="s">
        <v>543</v>
      </c>
      <c r="J372" s="6">
        <v>2</v>
      </c>
      <c r="K372" s="7" t="str">
        <f t="shared" si="4"/>
        <v>C551</v>
      </c>
      <c r="L372" s="8"/>
      <c r="M372" s="9" t="str">
        <f t="shared" si="5"/>
        <v>IKL1621</v>
      </c>
      <c r="N372" s="9">
        <f t="shared" si="6"/>
        <v>7</v>
      </c>
      <c r="O372" s="9" t="str">
        <f t="shared" si="7"/>
        <v>K/1IKL1621</v>
      </c>
    </row>
    <row r="373" spans="1:15" ht="17.5" x14ac:dyDescent="0.55000000000000004">
      <c r="A373" s="13" t="s">
        <v>540</v>
      </c>
      <c r="B373" s="11" t="s">
        <v>13</v>
      </c>
      <c r="C373" s="11" t="s">
        <v>256</v>
      </c>
      <c r="D373" s="10" t="s">
        <v>546</v>
      </c>
      <c r="E373" s="11" t="s">
        <v>50</v>
      </c>
      <c r="F373" s="11"/>
      <c r="G373" s="11" t="s">
        <v>17</v>
      </c>
      <c r="H373" s="11">
        <v>0</v>
      </c>
      <c r="I373" s="11" t="s">
        <v>543</v>
      </c>
      <c r="J373" s="11">
        <v>2</v>
      </c>
      <c r="K373" s="7" t="str">
        <f t="shared" si="4"/>
        <v>C551</v>
      </c>
      <c r="L373" s="8"/>
      <c r="M373" s="9" t="str">
        <f t="shared" si="5"/>
        <v>IKL1526</v>
      </c>
      <c r="N373" s="9">
        <f t="shared" si="6"/>
        <v>7</v>
      </c>
      <c r="O373" s="9" t="str">
        <f t="shared" si="7"/>
        <v>P/1IKL1526</v>
      </c>
    </row>
    <row r="374" spans="1:15" ht="17.5" x14ac:dyDescent="0.55000000000000004">
      <c r="A374" s="12" t="s">
        <v>540</v>
      </c>
      <c r="B374" s="6" t="s">
        <v>13</v>
      </c>
      <c r="C374" s="6" t="s">
        <v>256</v>
      </c>
      <c r="D374" s="5" t="s">
        <v>547</v>
      </c>
      <c r="E374" s="6" t="s">
        <v>50</v>
      </c>
      <c r="F374" s="6" t="s">
        <v>548</v>
      </c>
      <c r="G374" s="6" t="s">
        <v>17</v>
      </c>
      <c r="H374" s="6">
        <v>0</v>
      </c>
      <c r="I374" s="6" t="s">
        <v>543</v>
      </c>
      <c r="J374" s="6">
        <v>2</v>
      </c>
      <c r="K374" s="7" t="str">
        <f t="shared" si="4"/>
        <v>C551</v>
      </c>
      <c r="L374" s="8"/>
      <c r="M374" s="9" t="str">
        <f t="shared" si="5"/>
        <v>IKL1611</v>
      </c>
      <c r="N374" s="9">
        <f t="shared" si="6"/>
        <v>7</v>
      </c>
      <c r="O374" s="9" t="str">
        <f t="shared" si="7"/>
        <v>P/1IKL1611</v>
      </c>
    </row>
    <row r="375" spans="1:15" ht="17.5" x14ac:dyDescent="0.55000000000000004">
      <c r="A375" s="13" t="s">
        <v>540</v>
      </c>
      <c r="B375" s="11" t="s">
        <v>13</v>
      </c>
      <c r="C375" s="11" t="s">
        <v>256</v>
      </c>
      <c r="D375" s="10" t="s">
        <v>549</v>
      </c>
      <c r="E375" s="11" t="s">
        <v>50</v>
      </c>
      <c r="F375" s="11" t="s">
        <v>550</v>
      </c>
      <c r="G375" s="11" t="s">
        <v>17</v>
      </c>
      <c r="H375" s="11">
        <v>0</v>
      </c>
      <c r="I375" s="11" t="s">
        <v>543</v>
      </c>
      <c r="J375" s="11">
        <v>2</v>
      </c>
      <c r="K375" s="7" t="str">
        <f t="shared" si="4"/>
        <v>C551</v>
      </c>
      <c r="L375" s="8"/>
      <c r="M375" s="9" t="str">
        <f t="shared" si="5"/>
        <v>IKL1621</v>
      </c>
      <c r="N375" s="9">
        <f t="shared" si="6"/>
        <v>7</v>
      </c>
      <c r="O375" s="9" t="str">
        <f t="shared" si="7"/>
        <v>P/1IKL1621</v>
      </c>
    </row>
    <row r="376" spans="1:15" ht="17.5" x14ac:dyDescent="0.55000000000000004">
      <c r="A376" s="12" t="s">
        <v>540</v>
      </c>
      <c r="B376" s="6" t="s">
        <v>31</v>
      </c>
      <c r="C376" s="6" t="s">
        <v>14</v>
      </c>
      <c r="D376" s="5" t="s">
        <v>551</v>
      </c>
      <c r="E376" s="6" t="s">
        <v>16</v>
      </c>
      <c r="F376" s="6"/>
      <c r="G376" s="6" t="s">
        <v>17</v>
      </c>
      <c r="H376" s="6">
        <v>0</v>
      </c>
      <c r="I376" s="6" t="s">
        <v>543</v>
      </c>
      <c r="J376" s="6">
        <v>2</v>
      </c>
      <c r="K376" s="7" t="str">
        <f t="shared" si="4"/>
        <v>C551</v>
      </c>
      <c r="L376" s="8"/>
      <c r="M376" s="9" t="str">
        <f t="shared" si="5"/>
        <v>IKL1625</v>
      </c>
      <c r="N376" s="9">
        <f t="shared" si="6"/>
        <v>7</v>
      </c>
      <c r="O376" s="9" t="str">
        <f t="shared" si="7"/>
        <v>K/1IKL1625</v>
      </c>
    </row>
    <row r="377" spans="1:15" ht="17.5" x14ac:dyDescent="0.55000000000000004">
      <c r="A377" s="13" t="s">
        <v>540</v>
      </c>
      <c r="B377" s="11" t="s">
        <v>31</v>
      </c>
      <c r="C377" s="11" t="s">
        <v>25</v>
      </c>
      <c r="D377" s="10" t="s">
        <v>552</v>
      </c>
      <c r="E377" s="11" t="s">
        <v>16</v>
      </c>
      <c r="F377" s="11" t="s">
        <v>553</v>
      </c>
      <c r="G377" s="11" t="s">
        <v>17</v>
      </c>
      <c r="H377" s="11">
        <v>0</v>
      </c>
      <c r="I377" s="11" t="s">
        <v>543</v>
      </c>
      <c r="J377" s="11">
        <v>2</v>
      </c>
      <c r="K377" s="7" t="str">
        <f t="shared" si="4"/>
        <v>C551</v>
      </c>
      <c r="L377" s="8"/>
      <c r="M377" s="9" t="str">
        <f t="shared" si="5"/>
        <v>IKL1515</v>
      </c>
      <c r="N377" s="9">
        <f t="shared" si="6"/>
        <v>7</v>
      </c>
      <c r="O377" s="9" t="str">
        <f t="shared" si="7"/>
        <v>K/1IKL1515</v>
      </c>
    </row>
    <row r="378" spans="1:15" ht="17.5" x14ac:dyDescent="0.55000000000000004">
      <c r="A378" s="12" t="s">
        <v>540</v>
      </c>
      <c r="B378" s="6" t="s">
        <v>31</v>
      </c>
      <c r="C378" s="6" t="s">
        <v>25</v>
      </c>
      <c r="D378" s="5" t="s">
        <v>554</v>
      </c>
      <c r="E378" s="6" t="s">
        <v>16</v>
      </c>
      <c r="F378" s="6" t="s">
        <v>542</v>
      </c>
      <c r="G378" s="6" t="s">
        <v>17</v>
      </c>
      <c r="H378" s="6">
        <v>0</v>
      </c>
      <c r="I378" s="6" t="s">
        <v>543</v>
      </c>
      <c r="J378" s="6">
        <v>2</v>
      </c>
      <c r="K378" s="7" t="str">
        <f t="shared" si="4"/>
        <v>C551</v>
      </c>
      <c r="L378" s="8"/>
      <c r="M378" s="9" t="str">
        <f t="shared" si="5"/>
        <v>IKL1626</v>
      </c>
      <c r="N378" s="9">
        <f t="shared" si="6"/>
        <v>7</v>
      </c>
      <c r="O378" s="9" t="str">
        <f t="shared" si="7"/>
        <v>K/1IKL1626</v>
      </c>
    </row>
    <row r="379" spans="1:15" ht="17.5" x14ac:dyDescent="0.55000000000000004">
      <c r="A379" s="13" t="s">
        <v>540</v>
      </c>
      <c r="B379" s="11" t="s">
        <v>31</v>
      </c>
      <c r="C379" s="11" t="s">
        <v>256</v>
      </c>
      <c r="D379" s="10" t="s">
        <v>552</v>
      </c>
      <c r="E379" s="11" t="s">
        <v>50</v>
      </c>
      <c r="F379" s="11" t="s">
        <v>553</v>
      </c>
      <c r="G379" s="11" t="s">
        <v>17</v>
      </c>
      <c r="H379" s="11">
        <v>0</v>
      </c>
      <c r="I379" s="11" t="s">
        <v>543</v>
      </c>
      <c r="J379" s="11">
        <v>2</v>
      </c>
      <c r="K379" s="7" t="str">
        <f t="shared" si="4"/>
        <v>C551</v>
      </c>
      <c r="L379" s="8"/>
      <c r="M379" s="9" t="str">
        <f t="shared" si="5"/>
        <v>IKL1515</v>
      </c>
      <c r="N379" s="9">
        <f t="shared" si="6"/>
        <v>7</v>
      </c>
      <c r="O379" s="9" t="str">
        <f t="shared" si="7"/>
        <v>P/1IKL1515</v>
      </c>
    </row>
    <row r="380" spans="1:15" ht="17.5" x14ac:dyDescent="0.55000000000000004">
      <c r="A380" s="12" t="s">
        <v>540</v>
      </c>
      <c r="B380" s="6" t="s">
        <v>31</v>
      </c>
      <c r="C380" s="6" t="s">
        <v>256</v>
      </c>
      <c r="D380" s="5" t="s">
        <v>551</v>
      </c>
      <c r="E380" s="6" t="s">
        <v>50</v>
      </c>
      <c r="F380" s="6"/>
      <c r="G380" s="6" t="s">
        <v>17</v>
      </c>
      <c r="H380" s="6">
        <v>0</v>
      </c>
      <c r="I380" s="6" t="s">
        <v>543</v>
      </c>
      <c r="J380" s="6">
        <v>2</v>
      </c>
      <c r="K380" s="7" t="str">
        <f t="shared" si="4"/>
        <v>C551</v>
      </c>
      <c r="L380" s="8"/>
      <c r="M380" s="9" t="str">
        <f t="shared" si="5"/>
        <v>IKL1625</v>
      </c>
      <c r="N380" s="9">
        <f t="shared" si="6"/>
        <v>7</v>
      </c>
      <c r="O380" s="9" t="str">
        <f t="shared" si="7"/>
        <v>P/1IKL1625</v>
      </c>
    </row>
    <row r="381" spans="1:15" ht="17.5" x14ac:dyDescent="0.55000000000000004">
      <c r="A381" s="13" t="s">
        <v>540</v>
      </c>
      <c r="B381" s="11" t="s">
        <v>31</v>
      </c>
      <c r="C381" s="11" t="s">
        <v>256</v>
      </c>
      <c r="D381" s="10" t="s">
        <v>554</v>
      </c>
      <c r="E381" s="11" t="s">
        <v>50</v>
      </c>
      <c r="F381" s="11" t="s">
        <v>542</v>
      </c>
      <c r="G381" s="11" t="s">
        <v>17</v>
      </c>
      <c r="H381" s="11">
        <v>0</v>
      </c>
      <c r="I381" s="11" t="s">
        <v>543</v>
      </c>
      <c r="J381" s="11">
        <v>2</v>
      </c>
      <c r="K381" s="7" t="str">
        <f t="shared" si="4"/>
        <v>C551</v>
      </c>
      <c r="L381" s="8"/>
      <c r="M381" s="9" t="str">
        <f t="shared" si="5"/>
        <v>IKL1626</v>
      </c>
      <c r="N381" s="9">
        <f t="shared" si="6"/>
        <v>7</v>
      </c>
      <c r="O381" s="9" t="str">
        <f t="shared" si="7"/>
        <v>P/1IKL1626</v>
      </c>
    </row>
    <row r="382" spans="1:15" ht="17.5" x14ac:dyDescent="0.55000000000000004">
      <c r="A382" s="12" t="s">
        <v>540</v>
      </c>
      <c r="B382" s="6" t="s">
        <v>41</v>
      </c>
      <c r="C382" s="6" t="s">
        <v>14</v>
      </c>
      <c r="D382" s="5" t="s">
        <v>555</v>
      </c>
      <c r="E382" s="6" t="s">
        <v>16</v>
      </c>
      <c r="F382" s="6" t="s">
        <v>542</v>
      </c>
      <c r="G382" s="6" t="s">
        <v>17</v>
      </c>
      <c r="H382" s="6">
        <v>0</v>
      </c>
      <c r="I382" s="6" t="s">
        <v>543</v>
      </c>
      <c r="J382" s="6">
        <v>2</v>
      </c>
      <c r="K382" s="7" t="str">
        <f t="shared" si="4"/>
        <v>C551</v>
      </c>
      <c r="L382" s="8"/>
      <c r="M382" s="9" t="str">
        <f t="shared" si="5"/>
        <v>IKL1624</v>
      </c>
      <c r="N382" s="9">
        <f t="shared" si="6"/>
        <v>7</v>
      </c>
      <c r="O382" s="9" t="str">
        <f t="shared" si="7"/>
        <v>K/1IKL1624</v>
      </c>
    </row>
    <row r="383" spans="1:15" ht="17.5" x14ac:dyDescent="0.55000000000000004">
      <c r="A383" s="13" t="s">
        <v>540</v>
      </c>
      <c r="B383" s="11" t="s">
        <v>41</v>
      </c>
      <c r="C383" s="11" t="s">
        <v>235</v>
      </c>
      <c r="D383" s="10" t="s">
        <v>556</v>
      </c>
      <c r="E383" s="11" t="s">
        <v>16</v>
      </c>
      <c r="F383" s="11" t="s">
        <v>557</v>
      </c>
      <c r="G383" s="11" t="s">
        <v>17</v>
      </c>
      <c r="H383" s="11">
        <v>0</v>
      </c>
      <c r="I383" s="11" t="s">
        <v>543</v>
      </c>
      <c r="J383" s="11">
        <v>2</v>
      </c>
      <c r="K383" s="7" t="str">
        <f t="shared" si="4"/>
        <v>C551</v>
      </c>
      <c r="L383" s="8"/>
      <c r="M383" s="9" t="str">
        <f t="shared" si="5"/>
        <v>IKL1612</v>
      </c>
      <c r="N383" s="9">
        <f t="shared" si="6"/>
        <v>7</v>
      </c>
      <c r="O383" s="9" t="str">
        <f t="shared" si="7"/>
        <v>K/1IKL1612</v>
      </c>
    </row>
    <row r="384" spans="1:15" ht="17.5" x14ac:dyDescent="0.55000000000000004">
      <c r="A384" s="12" t="s">
        <v>540</v>
      </c>
      <c r="B384" s="6" t="s">
        <v>41</v>
      </c>
      <c r="C384" s="6" t="s">
        <v>235</v>
      </c>
      <c r="D384" s="5" t="s">
        <v>558</v>
      </c>
      <c r="E384" s="6" t="s">
        <v>16</v>
      </c>
      <c r="F384" s="6" t="s">
        <v>559</v>
      </c>
      <c r="G384" s="6" t="s">
        <v>17</v>
      </c>
      <c r="H384" s="6">
        <v>0</v>
      </c>
      <c r="I384" s="6" t="s">
        <v>543</v>
      </c>
      <c r="J384" s="6">
        <v>2</v>
      </c>
      <c r="K384" s="7" t="str">
        <f t="shared" si="4"/>
        <v>C551</v>
      </c>
      <c r="L384" s="8"/>
      <c r="M384" s="9" t="str">
        <f t="shared" si="5"/>
        <v>IKL1627</v>
      </c>
      <c r="N384" s="9">
        <f t="shared" si="6"/>
        <v>7</v>
      </c>
      <c r="O384" s="9" t="str">
        <f t="shared" si="7"/>
        <v>K/1IKL1627</v>
      </c>
    </row>
    <row r="385" spans="1:15" ht="17.5" x14ac:dyDescent="0.55000000000000004">
      <c r="A385" s="13" t="s">
        <v>540</v>
      </c>
      <c r="B385" s="11" t="s">
        <v>41</v>
      </c>
      <c r="C385" s="11" t="s">
        <v>560</v>
      </c>
      <c r="D385" s="10" t="s">
        <v>555</v>
      </c>
      <c r="E385" s="11" t="s">
        <v>50</v>
      </c>
      <c r="F385" s="11" t="s">
        <v>542</v>
      </c>
      <c r="G385" s="11" t="s">
        <v>17</v>
      </c>
      <c r="H385" s="11">
        <v>0</v>
      </c>
      <c r="I385" s="11" t="s">
        <v>543</v>
      </c>
      <c r="J385" s="11">
        <v>2</v>
      </c>
      <c r="K385" s="7" t="str">
        <f t="shared" si="4"/>
        <v>C551</v>
      </c>
      <c r="L385" s="8"/>
      <c r="M385" s="9" t="str">
        <f t="shared" si="5"/>
        <v>IKL1624</v>
      </c>
      <c r="N385" s="9">
        <f t="shared" si="6"/>
        <v>7</v>
      </c>
      <c r="O385" s="9" t="str">
        <f t="shared" si="7"/>
        <v>P/1IKL1624</v>
      </c>
    </row>
    <row r="386" spans="1:15" ht="17.5" x14ac:dyDescent="0.55000000000000004">
      <c r="A386" s="12" t="s">
        <v>540</v>
      </c>
      <c r="B386" s="6" t="s">
        <v>47</v>
      </c>
      <c r="C386" s="6" t="s">
        <v>14</v>
      </c>
      <c r="D386" s="5" t="s">
        <v>561</v>
      </c>
      <c r="E386" s="6" t="s">
        <v>16</v>
      </c>
      <c r="F386" s="6" t="s">
        <v>550</v>
      </c>
      <c r="G386" s="6" t="s">
        <v>17</v>
      </c>
      <c r="H386" s="6">
        <v>0</v>
      </c>
      <c r="I386" s="6" t="s">
        <v>543</v>
      </c>
      <c r="J386" s="6">
        <v>2</v>
      </c>
      <c r="K386" s="7" t="str">
        <f t="shared" si="4"/>
        <v>C551</v>
      </c>
      <c r="L386" s="8"/>
      <c r="M386" s="9" t="str">
        <f t="shared" si="5"/>
        <v>IKL1524</v>
      </c>
      <c r="N386" s="9">
        <f t="shared" si="6"/>
        <v>7</v>
      </c>
      <c r="O386" s="9" t="str">
        <f t="shared" si="7"/>
        <v>K/1IKL1524</v>
      </c>
    </row>
    <row r="387" spans="1:15" ht="17.5" x14ac:dyDescent="0.55000000000000004">
      <c r="A387" s="13" t="s">
        <v>540</v>
      </c>
      <c r="B387" s="11" t="s">
        <v>47</v>
      </c>
      <c r="C387" s="11" t="s">
        <v>25</v>
      </c>
      <c r="D387" s="10" t="s">
        <v>562</v>
      </c>
      <c r="E387" s="11" t="s">
        <v>16</v>
      </c>
      <c r="F387" s="11"/>
      <c r="G387" s="11" t="s">
        <v>17</v>
      </c>
      <c r="H387" s="11">
        <v>0</v>
      </c>
      <c r="I387" s="11" t="s">
        <v>543</v>
      </c>
      <c r="J387" s="11">
        <v>2</v>
      </c>
      <c r="K387" s="7" t="str">
        <f t="shared" si="4"/>
        <v>C551</v>
      </c>
      <c r="L387" s="8"/>
      <c r="M387" s="9" t="str">
        <f t="shared" si="5"/>
        <v>IKL1514</v>
      </c>
      <c r="N387" s="9">
        <f t="shared" si="6"/>
        <v>7</v>
      </c>
      <c r="O387" s="9" t="str">
        <f t="shared" si="7"/>
        <v>K/1IKL1514</v>
      </c>
    </row>
    <row r="388" spans="1:15" ht="17.5" x14ac:dyDescent="0.55000000000000004">
      <c r="A388" s="12" t="s">
        <v>540</v>
      </c>
      <c r="B388" s="6" t="s">
        <v>47</v>
      </c>
      <c r="C388" s="6" t="s">
        <v>25</v>
      </c>
      <c r="D388" s="5" t="s">
        <v>563</v>
      </c>
      <c r="E388" s="6" t="s">
        <v>16</v>
      </c>
      <c r="F388" s="6"/>
      <c r="G388" s="6" t="s">
        <v>17</v>
      </c>
      <c r="H388" s="6">
        <v>0</v>
      </c>
      <c r="I388" s="6" t="s">
        <v>543</v>
      </c>
      <c r="J388" s="6">
        <v>2</v>
      </c>
      <c r="K388" s="7" t="str">
        <f t="shared" si="4"/>
        <v>C551</v>
      </c>
      <c r="L388" s="8"/>
      <c r="M388" s="9" t="str">
        <f t="shared" si="5"/>
        <v>IKL1623</v>
      </c>
      <c r="N388" s="9">
        <f t="shared" si="6"/>
        <v>7</v>
      </c>
      <c r="O388" s="9" t="str">
        <f t="shared" si="7"/>
        <v>K/1IKL1623</v>
      </c>
    </row>
    <row r="389" spans="1:15" ht="17.5" x14ac:dyDescent="0.55000000000000004">
      <c r="A389" s="13" t="s">
        <v>540</v>
      </c>
      <c r="B389" s="11" t="s">
        <v>47</v>
      </c>
      <c r="C389" s="11" t="s">
        <v>281</v>
      </c>
      <c r="D389" s="10" t="s">
        <v>561</v>
      </c>
      <c r="E389" s="11" t="s">
        <v>50</v>
      </c>
      <c r="F389" s="11" t="s">
        <v>550</v>
      </c>
      <c r="G389" s="11" t="s">
        <v>17</v>
      </c>
      <c r="H389" s="11">
        <v>0</v>
      </c>
      <c r="I389" s="11" t="s">
        <v>543</v>
      </c>
      <c r="J389" s="11">
        <v>2</v>
      </c>
      <c r="K389" s="7" t="str">
        <f t="shared" si="4"/>
        <v>C551</v>
      </c>
      <c r="L389" s="8"/>
      <c r="M389" s="9" t="str">
        <f t="shared" si="5"/>
        <v>IKL1524</v>
      </c>
      <c r="N389" s="9">
        <f t="shared" si="6"/>
        <v>7</v>
      </c>
      <c r="O389" s="9" t="str">
        <f t="shared" si="7"/>
        <v>P/1IKL1524</v>
      </c>
    </row>
    <row r="390" spans="1:15" ht="17.5" x14ac:dyDescent="0.55000000000000004">
      <c r="A390" s="12" t="s">
        <v>540</v>
      </c>
      <c r="B390" s="6" t="s">
        <v>47</v>
      </c>
      <c r="C390" s="6" t="s">
        <v>64</v>
      </c>
      <c r="D390" s="5" t="s">
        <v>564</v>
      </c>
      <c r="E390" s="6" t="s">
        <v>16</v>
      </c>
      <c r="F390" s="6" t="s">
        <v>559</v>
      </c>
      <c r="G390" s="6" t="s">
        <v>17</v>
      </c>
      <c r="H390" s="6">
        <v>0</v>
      </c>
      <c r="I390" s="6" t="s">
        <v>543</v>
      </c>
      <c r="J390" s="6">
        <v>2</v>
      </c>
      <c r="K390" s="7" t="str">
        <f t="shared" si="4"/>
        <v>C551</v>
      </c>
      <c r="L390" s="8"/>
      <c r="M390" s="9" t="str">
        <f t="shared" si="5"/>
        <v>IKL1527</v>
      </c>
      <c r="N390" s="9">
        <f t="shared" si="6"/>
        <v>7</v>
      </c>
      <c r="O390" s="9" t="str">
        <f t="shared" si="7"/>
        <v>K/1IKL1527</v>
      </c>
    </row>
    <row r="391" spans="1:15" ht="17.5" x14ac:dyDescent="0.55000000000000004">
      <c r="A391" s="13" t="s">
        <v>540</v>
      </c>
      <c r="B391" s="11" t="s">
        <v>47</v>
      </c>
      <c r="C391" s="11" t="s">
        <v>256</v>
      </c>
      <c r="D391" s="10" t="s">
        <v>562</v>
      </c>
      <c r="E391" s="11" t="s">
        <v>50</v>
      </c>
      <c r="F391" s="11"/>
      <c r="G391" s="11" t="s">
        <v>17</v>
      </c>
      <c r="H391" s="11">
        <v>0</v>
      </c>
      <c r="I391" s="11" t="s">
        <v>543</v>
      </c>
      <c r="J391" s="11">
        <v>2</v>
      </c>
      <c r="K391" s="7" t="str">
        <f t="shared" si="4"/>
        <v>C551</v>
      </c>
      <c r="L391" s="8"/>
      <c r="M391" s="9" t="str">
        <f t="shared" si="5"/>
        <v>IKL1514</v>
      </c>
      <c r="N391" s="9">
        <f t="shared" si="6"/>
        <v>7</v>
      </c>
      <c r="O391" s="9" t="str">
        <f t="shared" si="7"/>
        <v>P/1IKL1514</v>
      </c>
    </row>
    <row r="392" spans="1:15" ht="17.5" x14ac:dyDescent="0.55000000000000004">
      <c r="A392" s="12" t="s">
        <v>540</v>
      </c>
      <c r="B392" s="6" t="s">
        <v>47</v>
      </c>
      <c r="C392" s="6" t="s">
        <v>560</v>
      </c>
      <c r="D392" s="5" t="s">
        <v>564</v>
      </c>
      <c r="E392" s="6" t="s">
        <v>50</v>
      </c>
      <c r="F392" s="6" t="s">
        <v>559</v>
      </c>
      <c r="G392" s="6" t="s">
        <v>17</v>
      </c>
      <c r="H392" s="6">
        <v>0</v>
      </c>
      <c r="I392" s="6" t="s">
        <v>543</v>
      </c>
      <c r="J392" s="6">
        <v>2</v>
      </c>
      <c r="K392" s="7" t="str">
        <f t="shared" si="4"/>
        <v>C551</v>
      </c>
      <c r="L392" s="8"/>
      <c r="M392" s="9" t="str">
        <f t="shared" si="5"/>
        <v>IKL1527</v>
      </c>
      <c r="N392" s="9">
        <f t="shared" si="6"/>
        <v>7</v>
      </c>
      <c r="O392" s="9" t="str">
        <f t="shared" si="7"/>
        <v>P/1IKL1527</v>
      </c>
    </row>
    <row r="393" spans="1:15" ht="17.5" x14ac:dyDescent="0.55000000000000004">
      <c r="A393" s="13" t="s">
        <v>540</v>
      </c>
      <c r="B393" s="11" t="s">
        <v>52</v>
      </c>
      <c r="C393" s="11" t="s">
        <v>14</v>
      </c>
      <c r="D393" s="10" t="s">
        <v>565</v>
      </c>
      <c r="E393" s="11" t="s">
        <v>16</v>
      </c>
      <c r="F393" s="11" t="s">
        <v>550</v>
      </c>
      <c r="G393" s="11" t="s">
        <v>17</v>
      </c>
      <c r="H393" s="11">
        <v>0</v>
      </c>
      <c r="I393" s="11" t="s">
        <v>543</v>
      </c>
      <c r="J393" s="11">
        <v>2</v>
      </c>
      <c r="K393" s="7" t="str">
        <f t="shared" si="4"/>
        <v>C551</v>
      </c>
      <c r="L393" s="8"/>
      <c r="M393" s="9" t="str">
        <f t="shared" si="5"/>
        <v>IKL1622</v>
      </c>
      <c r="N393" s="9">
        <f t="shared" si="6"/>
        <v>7</v>
      </c>
      <c r="O393" s="9" t="str">
        <f t="shared" si="7"/>
        <v>K/1IKL1622</v>
      </c>
    </row>
    <row r="394" spans="1:15" ht="17.5" x14ac:dyDescent="0.55000000000000004">
      <c r="A394" s="12" t="s">
        <v>540</v>
      </c>
      <c r="B394" s="6" t="s">
        <v>52</v>
      </c>
      <c r="C394" s="6" t="s">
        <v>19</v>
      </c>
      <c r="D394" s="5" t="s">
        <v>556</v>
      </c>
      <c r="E394" s="6" t="s">
        <v>50</v>
      </c>
      <c r="F394" s="6" t="s">
        <v>557</v>
      </c>
      <c r="G394" s="6" t="s">
        <v>17</v>
      </c>
      <c r="H394" s="6">
        <v>0</v>
      </c>
      <c r="I394" s="6" t="s">
        <v>543</v>
      </c>
      <c r="J394" s="6">
        <v>2</v>
      </c>
      <c r="K394" s="7" t="str">
        <f t="shared" si="4"/>
        <v>C551</v>
      </c>
      <c r="L394" s="8"/>
      <c r="M394" s="9" t="str">
        <f t="shared" si="5"/>
        <v>IKL1612</v>
      </c>
      <c r="N394" s="9">
        <f t="shared" si="6"/>
        <v>7</v>
      </c>
      <c r="O394" s="9" t="str">
        <f t="shared" si="7"/>
        <v>P/1IKL1612</v>
      </c>
    </row>
    <row r="395" spans="1:15" ht="17.5" x14ac:dyDescent="0.55000000000000004">
      <c r="A395" s="13" t="s">
        <v>540</v>
      </c>
      <c r="B395" s="11" t="s">
        <v>52</v>
      </c>
      <c r="C395" s="11" t="s">
        <v>281</v>
      </c>
      <c r="D395" s="10" t="s">
        <v>558</v>
      </c>
      <c r="E395" s="11" t="s">
        <v>50</v>
      </c>
      <c r="F395" s="11" t="s">
        <v>559</v>
      </c>
      <c r="G395" s="11" t="s">
        <v>17</v>
      </c>
      <c r="H395" s="11">
        <v>0</v>
      </c>
      <c r="I395" s="11" t="s">
        <v>543</v>
      </c>
      <c r="J395" s="11">
        <v>2</v>
      </c>
      <c r="K395" s="7" t="str">
        <f t="shared" si="4"/>
        <v>C551</v>
      </c>
      <c r="L395" s="8"/>
      <c r="M395" s="9" t="str">
        <f t="shared" si="5"/>
        <v>IKL1627</v>
      </c>
      <c r="N395" s="9">
        <f t="shared" si="6"/>
        <v>7</v>
      </c>
      <c r="O395" s="9" t="str">
        <f t="shared" si="7"/>
        <v>P/1IKL1627</v>
      </c>
    </row>
    <row r="396" spans="1:15" ht="17.5" x14ac:dyDescent="0.55000000000000004">
      <c r="A396" s="12" t="s">
        <v>540</v>
      </c>
      <c r="B396" s="6" t="s">
        <v>52</v>
      </c>
      <c r="C396" s="6" t="s">
        <v>290</v>
      </c>
      <c r="D396" s="5" t="s">
        <v>565</v>
      </c>
      <c r="E396" s="6" t="s">
        <v>50</v>
      </c>
      <c r="F396" s="6" t="s">
        <v>550</v>
      </c>
      <c r="G396" s="6" t="s">
        <v>17</v>
      </c>
      <c r="H396" s="6">
        <v>0</v>
      </c>
      <c r="I396" s="6" t="s">
        <v>543</v>
      </c>
      <c r="J396" s="6">
        <v>2</v>
      </c>
      <c r="K396" s="7" t="str">
        <f t="shared" si="4"/>
        <v>C551</v>
      </c>
      <c r="L396" s="8"/>
      <c r="M396" s="9" t="str">
        <f t="shared" si="5"/>
        <v>IKL1622</v>
      </c>
      <c r="N396" s="9">
        <f t="shared" si="6"/>
        <v>7</v>
      </c>
      <c r="O396" s="9" t="str">
        <f t="shared" si="7"/>
        <v>P/1IKL1622</v>
      </c>
    </row>
    <row r="397" spans="1:15" ht="17.5" x14ac:dyDescent="0.55000000000000004">
      <c r="A397" s="10" t="s">
        <v>566</v>
      </c>
      <c r="B397" s="10" t="s">
        <v>13</v>
      </c>
      <c r="C397" s="10" t="s">
        <v>64</v>
      </c>
      <c r="D397" s="10" t="s">
        <v>567</v>
      </c>
      <c r="E397" s="11" t="s">
        <v>16</v>
      </c>
      <c r="F397" s="10"/>
      <c r="G397" s="10" t="s">
        <v>568</v>
      </c>
      <c r="H397" s="11">
        <v>20</v>
      </c>
      <c r="I397" s="10" t="s">
        <v>569</v>
      </c>
      <c r="J397" s="11">
        <v>2</v>
      </c>
      <c r="K397" s="7" t="str">
        <f t="shared" si="4"/>
        <v>C552</v>
      </c>
      <c r="L397" s="8"/>
      <c r="M397" s="9" t="str">
        <f t="shared" si="5"/>
        <v>TEK1641</v>
      </c>
      <c r="N397" s="9">
        <f t="shared" si="6"/>
        <v>7</v>
      </c>
      <c r="O397" s="9" t="str">
        <f t="shared" si="7"/>
        <v>K/1TEK1641</v>
      </c>
    </row>
    <row r="398" spans="1:15" ht="17.5" x14ac:dyDescent="0.55000000000000004">
      <c r="A398" s="5" t="s">
        <v>566</v>
      </c>
      <c r="B398" s="5" t="s">
        <v>13</v>
      </c>
      <c r="C398" s="5" t="s">
        <v>570</v>
      </c>
      <c r="D398" s="5" t="s">
        <v>571</v>
      </c>
      <c r="E398" s="6" t="s">
        <v>16</v>
      </c>
      <c r="F398" s="5" t="s">
        <v>572</v>
      </c>
      <c r="G398" s="5" t="s">
        <v>573</v>
      </c>
      <c r="H398" s="6">
        <v>20</v>
      </c>
      <c r="I398" s="5" t="s">
        <v>569</v>
      </c>
      <c r="J398" s="6">
        <v>2</v>
      </c>
      <c r="K398" s="7" t="str">
        <f t="shared" si="4"/>
        <v>C552</v>
      </c>
      <c r="L398" s="8"/>
      <c r="M398" s="9" t="str">
        <f t="shared" si="5"/>
        <v>TEK1634</v>
      </c>
      <c r="N398" s="9">
        <f t="shared" si="6"/>
        <v>7</v>
      </c>
      <c r="O398" s="9" t="str">
        <f t="shared" si="7"/>
        <v>K/1TEK1634</v>
      </c>
    </row>
    <row r="399" spans="1:15" ht="17.5" x14ac:dyDescent="0.55000000000000004">
      <c r="A399" s="10" t="s">
        <v>566</v>
      </c>
      <c r="B399" s="10" t="s">
        <v>13</v>
      </c>
      <c r="C399" s="10" t="s">
        <v>560</v>
      </c>
      <c r="D399" s="10" t="s">
        <v>567</v>
      </c>
      <c r="E399" s="11" t="s">
        <v>50</v>
      </c>
      <c r="F399" s="10"/>
      <c r="G399" s="10" t="s">
        <v>568</v>
      </c>
      <c r="H399" s="11">
        <v>20</v>
      </c>
      <c r="I399" s="10" t="s">
        <v>569</v>
      </c>
      <c r="J399" s="11">
        <v>2</v>
      </c>
      <c r="K399" s="7" t="str">
        <f t="shared" si="4"/>
        <v>C552</v>
      </c>
      <c r="L399" s="8"/>
      <c r="M399" s="9" t="str">
        <f t="shared" si="5"/>
        <v>TEK1641</v>
      </c>
      <c r="N399" s="9">
        <f t="shared" si="6"/>
        <v>7</v>
      </c>
      <c r="O399" s="9" t="str">
        <f t="shared" si="7"/>
        <v>P/1TEK1641</v>
      </c>
    </row>
    <row r="400" spans="1:15" ht="17.5" x14ac:dyDescent="0.55000000000000004">
      <c r="A400" s="5" t="s">
        <v>566</v>
      </c>
      <c r="B400" s="5" t="s">
        <v>13</v>
      </c>
      <c r="C400" s="5" t="s">
        <v>574</v>
      </c>
      <c r="D400" s="5" t="s">
        <v>571</v>
      </c>
      <c r="E400" s="6" t="s">
        <v>50</v>
      </c>
      <c r="F400" s="5" t="s">
        <v>572</v>
      </c>
      <c r="G400" s="5" t="s">
        <v>573</v>
      </c>
      <c r="H400" s="6">
        <v>20</v>
      </c>
      <c r="I400" s="5" t="s">
        <v>569</v>
      </c>
      <c r="J400" s="6">
        <v>2</v>
      </c>
      <c r="K400" s="7" t="str">
        <f t="shared" si="4"/>
        <v>C552</v>
      </c>
      <c r="L400" s="8"/>
      <c r="M400" s="9" t="str">
        <f t="shared" si="5"/>
        <v>TEK1634</v>
      </c>
      <c r="N400" s="9">
        <f t="shared" si="6"/>
        <v>7</v>
      </c>
      <c r="O400" s="9" t="str">
        <f t="shared" si="7"/>
        <v>P/1TEK1634</v>
      </c>
    </row>
    <row r="401" spans="1:15" ht="17.5" x14ac:dyDescent="0.55000000000000004">
      <c r="A401" s="10" t="s">
        <v>566</v>
      </c>
      <c r="B401" s="10" t="s">
        <v>31</v>
      </c>
      <c r="C401" s="10" t="s">
        <v>14</v>
      </c>
      <c r="D401" s="10" t="s">
        <v>575</v>
      </c>
      <c r="E401" s="11" t="s">
        <v>16</v>
      </c>
      <c r="F401" s="10" t="s">
        <v>576</v>
      </c>
      <c r="G401" s="10" t="s">
        <v>568</v>
      </c>
      <c r="H401" s="11">
        <v>20</v>
      </c>
      <c r="I401" s="10" t="s">
        <v>569</v>
      </c>
      <c r="J401" s="11">
        <v>2</v>
      </c>
      <c r="K401" s="7" t="str">
        <f t="shared" si="4"/>
        <v>C552</v>
      </c>
      <c r="L401" s="8"/>
      <c r="M401" s="9" t="str">
        <f t="shared" si="5"/>
        <v>TEK1541</v>
      </c>
      <c r="N401" s="9">
        <f t="shared" si="6"/>
        <v>7</v>
      </c>
      <c r="O401" s="9" t="str">
        <f t="shared" si="7"/>
        <v>K/1TEK1541</v>
      </c>
    </row>
    <row r="402" spans="1:15" ht="17.5" x14ac:dyDescent="0.55000000000000004">
      <c r="A402" s="5" t="s">
        <v>566</v>
      </c>
      <c r="B402" s="5" t="s">
        <v>31</v>
      </c>
      <c r="C402" s="5" t="s">
        <v>14</v>
      </c>
      <c r="D402" s="5" t="s">
        <v>577</v>
      </c>
      <c r="E402" s="6" t="s">
        <v>16</v>
      </c>
      <c r="F402" s="5" t="s">
        <v>572</v>
      </c>
      <c r="G402" s="5" t="s">
        <v>578</v>
      </c>
      <c r="H402" s="6">
        <v>20</v>
      </c>
      <c r="I402" s="5" t="s">
        <v>569</v>
      </c>
      <c r="J402" s="6">
        <v>2</v>
      </c>
      <c r="K402" s="7" t="str">
        <f t="shared" si="4"/>
        <v>C552</v>
      </c>
      <c r="L402" s="8"/>
      <c r="M402" s="9" t="str">
        <f t="shared" si="5"/>
        <v>TEK1635</v>
      </c>
      <c r="N402" s="9">
        <f t="shared" si="6"/>
        <v>7</v>
      </c>
      <c r="O402" s="9" t="str">
        <f t="shared" si="7"/>
        <v>K/1TEK1635</v>
      </c>
    </row>
    <row r="403" spans="1:15" ht="17.5" x14ac:dyDescent="0.55000000000000004">
      <c r="A403" s="10" t="s">
        <v>566</v>
      </c>
      <c r="B403" s="10" t="s">
        <v>31</v>
      </c>
      <c r="C403" s="10" t="s">
        <v>281</v>
      </c>
      <c r="D403" s="10" t="s">
        <v>575</v>
      </c>
      <c r="E403" s="11" t="s">
        <v>50</v>
      </c>
      <c r="F403" s="10" t="s">
        <v>576</v>
      </c>
      <c r="G403" s="10" t="s">
        <v>579</v>
      </c>
      <c r="H403" s="11">
        <v>20</v>
      </c>
      <c r="I403" s="10" t="s">
        <v>569</v>
      </c>
      <c r="J403" s="11">
        <v>2</v>
      </c>
      <c r="K403" s="7" t="str">
        <f t="shared" si="4"/>
        <v>C552</v>
      </c>
      <c r="L403" s="8"/>
      <c r="M403" s="9" t="str">
        <f t="shared" si="5"/>
        <v>TEK1541</v>
      </c>
      <c r="N403" s="9">
        <f t="shared" si="6"/>
        <v>7</v>
      </c>
      <c r="O403" s="9" t="str">
        <f t="shared" si="7"/>
        <v>P/1TEK1541</v>
      </c>
    </row>
    <row r="404" spans="1:15" ht="17.5" x14ac:dyDescent="0.55000000000000004">
      <c r="A404" s="5" t="s">
        <v>566</v>
      </c>
      <c r="B404" s="5" t="s">
        <v>31</v>
      </c>
      <c r="C404" s="5" t="s">
        <v>580</v>
      </c>
      <c r="D404" s="5" t="s">
        <v>577</v>
      </c>
      <c r="E404" s="6" t="s">
        <v>50</v>
      </c>
      <c r="F404" s="5" t="s">
        <v>572</v>
      </c>
      <c r="G404" s="5" t="s">
        <v>578</v>
      </c>
      <c r="H404" s="6">
        <v>20</v>
      </c>
      <c r="I404" s="5" t="s">
        <v>569</v>
      </c>
      <c r="J404" s="6">
        <v>2</v>
      </c>
      <c r="K404" s="7" t="str">
        <f t="shared" si="4"/>
        <v>C552</v>
      </c>
      <c r="L404" s="8"/>
      <c r="M404" s="9" t="str">
        <f t="shared" si="5"/>
        <v>TEK1635</v>
      </c>
      <c r="N404" s="9">
        <f t="shared" si="6"/>
        <v>7</v>
      </c>
      <c r="O404" s="9" t="str">
        <f t="shared" si="7"/>
        <v>P/1TEK1635</v>
      </c>
    </row>
    <row r="405" spans="1:15" ht="17.5" x14ac:dyDescent="0.55000000000000004">
      <c r="A405" s="10" t="s">
        <v>566</v>
      </c>
      <c r="B405" s="10" t="s">
        <v>41</v>
      </c>
      <c r="C405" s="10" t="s">
        <v>581</v>
      </c>
      <c r="D405" s="10" t="s">
        <v>582</v>
      </c>
      <c r="E405" s="11" t="s">
        <v>16</v>
      </c>
      <c r="F405" s="10" t="s">
        <v>583</v>
      </c>
      <c r="G405" s="10" t="s">
        <v>578</v>
      </c>
      <c r="H405" s="11">
        <v>20</v>
      </c>
      <c r="I405" s="10" t="s">
        <v>569</v>
      </c>
      <c r="J405" s="11">
        <v>2</v>
      </c>
      <c r="K405" s="7" t="str">
        <f t="shared" si="4"/>
        <v>C552</v>
      </c>
      <c r="L405" s="8"/>
      <c r="M405" s="9" t="str">
        <f t="shared" si="5"/>
        <v>TEK1506</v>
      </c>
      <c r="N405" s="9">
        <f t="shared" si="6"/>
        <v>7</v>
      </c>
      <c r="O405" s="9" t="str">
        <f t="shared" si="7"/>
        <v>K/1TEK1506</v>
      </c>
    </row>
    <row r="406" spans="1:15" ht="17.5" x14ac:dyDescent="0.55000000000000004">
      <c r="A406" s="5" t="s">
        <v>566</v>
      </c>
      <c r="B406" s="5" t="s">
        <v>41</v>
      </c>
      <c r="C406" s="5" t="s">
        <v>235</v>
      </c>
      <c r="D406" s="5" t="s">
        <v>584</v>
      </c>
      <c r="E406" s="6" t="s">
        <v>16</v>
      </c>
      <c r="F406" s="5" t="s">
        <v>585</v>
      </c>
      <c r="G406" s="5" t="s">
        <v>568</v>
      </c>
      <c r="H406" s="6">
        <v>20</v>
      </c>
      <c r="I406" s="5" t="s">
        <v>569</v>
      </c>
      <c r="J406" s="6">
        <v>2</v>
      </c>
      <c r="K406" s="7" t="str">
        <f t="shared" si="4"/>
        <v>C552</v>
      </c>
      <c r="L406" s="8"/>
      <c r="M406" s="9" t="str">
        <f t="shared" si="5"/>
        <v>TEK1531</v>
      </c>
      <c r="N406" s="9">
        <f t="shared" si="6"/>
        <v>7</v>
      </c>
      <c r="O406" s="9" t="str">
        <f t="shared" si="7"/>
        <v>K/1TEK1531</v>
      </c>
    </row>
    <row r="407" spans="1:15" ht="17.5" x14ac:dyDescent="0.55000000000000004">
      <c r="A407" s="10" t="s">
        <v>566</v>
      </c>
      <c r="B407" s="10" t="s">
        <v>41</v>
      </c>
      <c r="C407" s="10" t="s">
        <v>586</v>
      </c>
      <c r="D407" s="10" t="s">
        <v>584</v>
      </c>
      <c r="E407" s="11" t="s">
        <v>50</v>
      </c>
      <c r="F407" s="10" t="s">
        <v>585</v>
      </c>
      <c r="G407" s="10" t="s">
        <v>568</v>
      </c>
      <c r="H407" s="11">
        <v>20</v>
      </c>
      <c r="I407" s="10" t="s">
        <v>569</v>
      </c>
      <c r="J407" s="11">
        <v>2</v>
      </c>
      <c r="K407" s="7" t="str">
        <f t="shared" si="4"/>
        <v>C552</v>
      </c>
      <c r="L407" s="8"/>
      <c r="M407" s="9" t="str">
        <f t="shared" si="5"/>
        <v>TEK1531</v>
      </c>
      <c r="N407" s="9">
        <f t="shared" si="6"/>
        <v>7</v>
      </c>
      <c r="O407" s="9" t="str">
        <f t="shared" si="7"/>
        <v>P/1TEK1531</v>
      </c>
    </row>
    <row r="408" spans="1:15" ht="17.5" x14ac:dyDescent="0.55000000000000004">
      <c r="A408" s="5" t="s">
        <v>566</v>
      </c>
      <c r="B408" s="5" t="s">
        <v>47</v>
      </c>
      <c r="C408" s="5" t="s">
        <v>14</v>
      </c>
      <c r="D408" s="5" t="s">
        <v>587</v>
      </c>
      <c r="E408" s="6" t="s">
        <v>16</v>
      </c>
      <c r="F408" s="5" t="s">
        <v>588</v>
      </c>
      <c r="G408" s="5" t="s">
        <v>578</v>
      </c>
      <c r="H408" s="6">
        <v>20</v>
      </c>
      <c r="I408" s="5" t="s">
        <v>569</v>
      </c>
      <c r="J408" s="6">
        <v>2</v>
      </c>
      <c r="K408" s="7" t="str">
        <f t="shared" si="4"/>
        <v>C552</v>
      </c>
      <c r="L408" s="8"/>
      <c r="M408" s="9" t="str">
        <f t="shared" si="5"/>
        <v>TEK1647</v>
      </c>
      <c r="N408" s="9">
        <f t="shared" si="6"/>
        <v>7</v>
      </c>
      <c r="O408" s="9" t="str">
        <f t="shared" si="7"/>
        <v>K/1TEK1647</v>
      </c>
    </row>
    <row r="409" spans="1:15" ht="17.5" x14ac:dyDescent="0.55000000000000004">
      <c r="A409" s="10" t="s">
        <v>566</v>
      </c>
      <c r="B409" s="10" t="s">
        <v>47</v>
      </c>
      <c r="C409" s="10" t="s">
        <v>281</v>
      </c>
      <c r="D409" s="10" t="s">
        <v>587</v>
      </c>
      <c r="E409" s="11" t="s">
        <v>50</v>
      </c>
      <c r="F409" s="10" t="s">
        <v>588</v>
      </c>
      <c r="G409" s="10" t="s">
        <v>589</v>
      </c>
      <c r="H409" s="11">
        <v>20</v>
      </c>
      <c r="I409" s="10" t="s">
        <v>569</v>
      </c>
      <c r="J409" s="11">
        <v>2</v>
      </c>
      <c r="K409" s="7" t="str">
        <f t="shared" si="4"/>
        <v>C552</v>
      </c>
      <c r="L409" s="8"/>
      <c r="M409" s="9" t="str">
        <f t="shared" si="5"/>
        <v>TEK1647</v>
      </c>
      <c r="N409" s="9">
        <f t="shared" si="6"/>
        <v>7</v>
      </c>
      <c r="O409" s="9" t="str">
        <f t="shared" si="7"/>
        <v>P/1TEK1647</v>
      </c>
    </row>
    <row r="410" spans="1:15" ht="17.5" x14ac:dyDescent="0.55000000000000004">
      <c r="A410" s="5" t="s">
        <v>566</v>
      </c>
      <c r="B410" s="5" t="s">
        <v>47</v>
      </c>
      <c r="C410" s="5" t="s">
        <v>64</v>
      </c>
      <c r="D410" s="5" t="s">
        <v>590</v>
      </c>
      <c r="E410" s="6" t="s">
        <v>16</v>
      </c>
      <c r="F410" s="5" t="s">
        <v>591</v>
      </c>
      <c r="G410" s="5" t="s">
        <v>589</v>
      </c>
      <c r="H410" s="6">
        <v>20</v>
      </c>
      <c r="I410" s="5" t="s">
        <v>569</v>
      </c>
      <c r="J410" s="6">
        <v>2</v>
      </c>
      <c r="K410" s="7" t="str">
        <f t="shared" si="4"/>
        <v>C552</v>
      </c>
      <c r="L410" s="8"/>
      <c r="M410" s="9" t="str">
        <f t="shared" si="5"/>
        <v>TEK1642</v>
      </c>
      <c r="N410" s="9">
        <f t="shared" si="6"/>
        <v>7</v>
      </c>
      <c r="O410" s="9" t="str">
        <f t="shared" si="7"/>
        <v>K/1TEK1642</v>
      </c>
    </row>
    <row r="411" spans="1:15" ht="17.5" x14ac:dyDescent="0.55000000000000004">
      <c r="A411" s="10" t="s">
        <v>566</v>
      </c>
      <c r="B411" s="10" t="s">
        <v>47</v>
      </c>
      <c r="C411" s="10" t="s">
        <v>560</v>
      </c>
      <c r="D411" s="10" t="s">
        <v>590</v>
      </c>
      <c r="E411" s="11" t="s">
        <v>50</v>
      </c>
      <c r="F411" s="10" t="s">
        <v>591</v>
      </c>
      <c r="G411" s="10" t="s">
        <v>589</v>
      </c>
      <c r="H411" s="11">
        <v>20</v>
      </c>
      <c r="I411" s="10" t="s">
        <v>569</v>
      </c>
      <c r="J411" s="11">
        <v>2</v>
      </c>
      <c r="K411" s="7" t="str">
        <f t="shared" si="4"/>
        <v>C552</v>
      </c>
      <c r="L411" s="8"/>
      <c r="M411" s="9" t="str">
        <f t="shared" si="5"/>
        <v>TEK1642</v>
      </c>
      <c r="N411" s="9">
        <f t="shared" si="6"/>
        <v>7</v>
      </c>
      <c r="O411" s="9" t="str">
        <f t="shared" si="7"/>
        <v>P/1TEK1642</v>
      </c>
    </row>
    <row r="412" spans="1:15" ht="17.5" x14ac:dyDescent="0.55000000000000004">
      <c r="A412" s="5" t="s">
        <v>566</v>
      </c>
      <c r="B412" s="5" t="s">
        <v>52</v>
      </c>
      <c r="C412" s="5" t="s">
        <v>14</v>
      </c>
      <c r="D412" s="5" t="s">
        <v>592</v>
      </c>
      <c r="E412" s="6" t="s">
        <v>16</v>
      </c>
      <c r="F412" s="5"/>
      <c r="G412" s="5" t="s">
        <v>573</v>
      </c>
      <c r="H412" s="6">
        <v>20</v>
      </c>
      <c r="I412" s="5" t="s">
        <v>569</v>
      </c>
      <c r="J412" s="6">
        <v>2</v>
      </c>
      <c r="K412" s="7" t="str">
        <f t="shared" si="4"/>
        <v>C552</v>
      </c>
      <c r="L412" s="8"/>
      <c r="M412" s="9" t="str">
        <f t="shared" si="5"/>
        <v>TEK1632</v>
      </c>
      <c r="N412" s="9">
        <f t="shared" si="6"/>
        <v>7</v>
      </c>
      <c r="O412" s="9" t="str">
        <f t="shared" si="7"/>
        <v>K/1TEK1632</v>
      </c>
    </row>
    <row r="413" spans="1:15" ht="17.5" x14ac:dyDescent="0.55000000000000004">
      <c r="A413" s="10" t="s">
        <v>566</v>
      </c>
      <c r="B413" s="10" t="s">
        <v>52</v>
      </c>
      <c r="C413" s="10" t="s">
        <v>281</v>
      </c>
      <c r="D413" s="10" t="s">
        <v>592</v>
      </c>
      <c r="E413" s="11" t="s">
        <v>50</v>
      </c>
      <c r="F413" s="10"/>
      <c r="G413" s="10" t="s">
        <v>573</v>
      </c>
      <c r="H413" s="11">
        <v>20</v>
      </c>
      <c r="I413" s="10" t="s">
        <v>569</v>
      </c>
      <c r="J413" s="11">
        <v>2</v>
      </c>
      <c r="K413" s="7" t="str">
        <f t="shared" si="4"/>
        <v>C552</v>
      </c>
      <c r="L413" s="8"/>
      <c r="M413" s="9" t="str">
        <f t="shared" si="5"/>
        <v>TEK1632</v>
      </c>
      <c r="N413" s="9">
        <f t="shared" si="6"/>
        <v>7</v>
      </c>
      <c r="O413" s="9" t="str">
        <f t="shared" si="7"/>
        <v>P/1TEK1632</v>
      </c>
    </row>
    <row r="414" spans="1:15" ht="17.5" x14ac:dyDescent="0.55000000000000004">
      <c r="A414" s="5" t="s">
        <v>593</v>
      </c>
      <c r="B414" s="6" t="s">
        <v>31</v>
      </c>
      <c r="C414" s="6" t="s">
        <v>14</v>
      </c>
      <c r="D414" s="5" t="s">
        <v>594</v>
      </c>
      <c r="E414" s="6" t="s">
        <v>16</v>
      </c>
      <c r="F414" s="6" t="s">
        <v>595</v>
      </c>
      <c r="G414" s="6" t="s">
        <v>17</v>
      </c>
      <c r="H414" s="6">
        <v>0</v>
      </c>
      <c r="I414" s="6" t="s">
        <v>596</v>
      </c>
      <c r="J414" s="6">
        <v>2</v>
      </c>
      <c r="K414" s="7" t="str">
        <f t="shared" si="4"/>
        <v>D151</v>
      </c>
      <c r="L414" s="8"/>
      <c r="M414" s="9" t="str">
        <f t="shared" si="5"/>
        <v>ITP1512</v>
      </c>
      <c r="N414" s="9">
        <f t="shared" si="6"/>
        <v>7</v>
      </c>
      <c r="O414" s="9" t="str">
        <f t="shared" si="7"/>
        <v>K/1ITP1512</v>
      </c>
    </row>
    <row r="415" spans="1:15" ht="17.5" x14ac:dyDescent="0.55000000000000004">
      <c r="A415" s="10" t="s">
        <v>593</v>
      </c>
      <c r="B415" s="11" t="s">
        <v>31</v>
      </c>
      <c r="C415" s="11" t="s">
        <v>14</v>
      </c>
      <c r="D415" s="10" t="s">
        <v>597</v>
      </c>
      <c r="E415" s="11" t="s">
        <v>16</v>
      </c>
      <c r="F415" s="11" t="s">
        <v>598</v>
      </c>
      <c r="G415" s="11" t="s">
        <v>17</v>
      </c>
      <c r="H415" s="11">
        <v>0</v>
      </c>
      <c r="I415" s="11" t="s">
        <v>596</v>
      </c>
      <c r="J415" s="11">
        <v>2</v>
      </c>
      <c r="K415" s="7" t="str">
        <f t="shared" si="4"/>
        <v>D151</v>
      </c>
      <c r="L415" s="8"/>
      <c r="M415" s="9" t="str">
        <f t="shared" si="5"/>
        <v>ITP1521</v>
      </c>
      <c r="N415" s="9">
        <f t="shared" si="6"/>
        <v>7</v>
      </c>
      <c r="O415" s="9" t="str">
        <f t="shared" si="7"/>
        <v>K/1ITP1521</v>
      </c>
    </row>
    <row r="416" spans="1:15" ht="17.5" x14ac:dyDescent="0.55000000000000004">
      <c r="A416" s="5" t="s">
        <v>593</v>
      </c>
      <c r="B416" s="6" t="s">
        <v>31</v>
      </c>
      <c r="C416" s="6" t="s">
        <v>14</v>
      </c>
      <c r="D416" s="5" t="s">
        <v>599</v>
      </c>
      <c r="E416" s="6" t="s">
        <v>16</v>
      </c>
      <c r="F416" s="6" t="s">
        <v>600</v>
      </c>
      <c r="G416" s="6" t="s">
        <v>17</v>
      </c>
      <c r="H416" s="6">
        <v>0</v>
      </c>
      <c r="I416" s="6" t="s">
        <v>596</v>
      </c>
      <c r="J416" s="6">
        <v>2</v>
      </c>
      <c r="K416" s="7" t="str">
        <f t="shared" si="4"/>
        <v>D151</v>
      </c>
      <c r="L416" s="8"/>
      <c r="M416" s="9" t="str">
        <f t="shared" si="5"/>
        <v>ITP1532</v>
      </c>
      <c r="N416" s="9">
        <f t="shared" si="6"/>
        <v>7</v>
      </c>
      <c r="O416" s="9" t="str">
        <f t="shared" si="7"/>
        <v>K/1ITP1532</v>
      </c>
    </row>
    <row r="417" spans="1:15" ht="17.5" x14ac:dyDescent="0.55000000000000004">
      <c r="A417" s="10" t="s">
        <v>593</v>
      </c>
      <c r="B417" s="11" t="s">
        <v>31</v>
      </c>
      <c r="C417" s="11" t="s">
        <v>14</v>
      </c>
      <c r="D417" s="10" t="s">
        <v>601</v>
      </c>
      <c r="E417" s="11" t="s">
        <v>16</v>
      </c>
      <c r="F417" s="11" t="s">
        <v>602</v>
      </c>
      <c r="G417" s="11" t="s">
        <v>17</v>
      </c>
      <c r="H417" s="11">
        <v>0</v>
      </c>
      <c r="I417" s="11" t="s">
        <v>596</v>
      </c>
      <c r="J417" s="11">
        <v>2</v>
      </c>
      <c r="K417" s="7" t="str">
        <f t="shared" si="4"/>
        <v>D151</v>
      </c>
      <c r="L417" s="8"/>
      <c r="M417" s="9" t="str">
        <f t="shared" si="5"/>
        <v>ITP1534</v>
      </c>
      <c r="N417" s="9">
        <f t="shared" si="6"/>
        <v>7</v>
      </c>
      <c r="O417" s="9" t="str">
        <f t="shared" si="7"/>
        <v>K/1ITP1534</v>
      </c>
    </row>
    <row r="418" spans="1:15" ht="17.5" x14ac:dyDescent="0.55000000000000004">
      <c r="A418" s="5" t="s">
        <v>593</v>
      </c>
      <c r="B418" s="6" t="s">
        <v>31</v>
      </c>
      <c r="C418" s="6" t="s">
        <v>14</v>
      </c>
      <c r="D418" s="5" t="s">
        <v>603</v>
      </c>
      <c r="E418" s="6" t="s">
        <v>16</v>
      </c>
      <c r="F418" s="6" t="s">
        <v>604</v>
      </c>
      <c r="G418" s="6" t="s">
        <v>17</v>
      </c>
      <c r="H418" s="6">
        <v>0</v>
      </c>
      <c r="I418" s="6" t="s">
        <v>596</v>
      </c>
      <c r="J418" s="6">
        <v>2</v>
      </c>
      <c r="K418" s="7" t="str">
        <f t="shared" si="4"/>
        <v>D151</v>
      </c>
      <c r="L418" s="8"/>
      <c r="M418" s="9" t="str">
        <f t="shared" si="5"/>
        <v>ITP1542</v>
      </c>
      <c r="N418" s="9">
        <f t="shared" si="6"/>
        <v>7</v>
      </c>
      <c r="O418" s="9" t="str">
        <f t="shared" si="7"/>
        <v>K/1ITP1542</v>
      </c>
    </row>
    <row r="419" spans="1:15" ht="17.5" x14ac:dyDescent="0.55000000000000004">
      <c r="A419" s="10" t="s">
        <v>593</v>
      </c>
      <c r="B419" s="11" t="s">
        <v>31</v>
      </c>
      <c r="C419" s="11" t="s">
        <v>14</v>
      </c>
      <c r="D419" s="10" t="s">
        <v>605</v>
      </c>
      <c r="E419" s="11" t="s">
        <v>16</v>
      </c>
      <c r="F419" s="11" t="s">
        <v>606</v>
      </c>
      <c r="G419" s="11" t="s">
        <v>17</v>
      </c>
      <c r="H419" s="11">
        <v>0</v>
      </c>
      <c r="I419" s="11" t="s">
        <v>596</v>
      </c>
      <c r="J419" s="11">
        <v>2</v>
      </c>
      <c r="K419" s="7" t="str">
        <f t="shared" si="4"/>
        <v>D151</v>
      </c>
      <c r="L419" s="8"/>
      <c r="M419" s="9" t="str">
        <f t="shared" si="5"/>
        <v>ITP1652</v>
      </c>
      <c r="N419" s="9">
        <f t="shared" si="6"/>
        <v>7</v>
      </c>
      <c r="O419" s="9" t="str">
        <f t="shared" si="7"/>
        <v>K/1ITP1652</v>
      </c>
    </row>
    <row r="420" spans="1:15" ht="17.5" x14ac:dyDescent="0.55000000000000004">
      <c r="A420" s="5" t="s">
        <v>593</v>
      </c>
      <c r="B420" s="6" t="s">
        <v>31</v>
      </c>
      <c r="C420" s="6" t="s">
        <v>25</v>
      </c>
      <c r="D420" s="5" t="s">
        <v>607</v>
      </c>
      <c r="E420" s="6" t="s">
        <v>16</v>
      </c>
      <c r="F420" s="6" t="s">
        <v>608</v>
      </c>
      <c r="G420" s="6" t="s">
        <v>17</v>
      </c>
      <c r="H420" s="6">
        <v>0</v>
      </c>
      <c r="I420" s="6" t="s">
        <v>596</v>
      </c>
      <c r="J420" s="6">
        <v>2</v>
      </c>
      <c r="K420" s="7" t="str">
        <f t="shared" si="4"/>
        <v>D151</v>
      </c>
      <c r="L420" s="8"/>
      <c r="M420" s="9" t="str">
        <f t="shared" si="5"/>
        <v>ITP1653</v>
      </c>
      <c r="N420" s="9">
        <f t="shared" si="6"/>
        <v>7</v>
      </c>
      <c r="O420" s="9" t="str">
        <f t="shared" si="7"/>
        <v>K/1ITP1653</v>
      </c>
    </row>
    <row r="421" spans="1:15" ht="17.5" x14ac:dyDescent="0.55000000000000004">
      <c r="A421" s="10" t="s">
        <v>593</v>
      </c>
      <c r="B421" s="11" t="s">
        <v>31</v>
      </c>
      <c r="C421" s="11" t="s">
        <v>283</v>
      </c>
      <c r="D421" s="10" t="s">
        <v>594</v>
      </c>
      <c r="E421" s="11" t="s">
        <v>50</v>
      </c>
      <c r="F421" s="11" t="s">
        <v>595</v>
      </c>
      <c r="G421" s="11" t="s">
        <v>17</v>
      </c>
      <c r="H421" s="11">
        <v>0</v>
      </c>
      <c r="I421" s="11" t="s">
        <v>596</v>
      </c>
      <c r="J421" s="11">
        <v>2</v>
      </c>
      <c r="K421" s="7" t="str">
        <f t="shared" si="4"/>
        <v>D151</v>
      </c>
      <c r="L421" s="8"/>
      <c r="M421" s="9" t="str">
        <f t="shared" si="5"/>
        <v>ITP1512</v>
      </c>
      <c r="N421" s="9">
        <f t="shared" si="6"/>
        <v>7</v>
      </c>
      <c r="O421" s="9" t="str">
        <f t="shared" si="7"/>
        <v>P/1ITP1512</v>
      </c>
    </row>
    <row r="422" spans="1:15" ht="17.5" x14ac:dyDescent="0.55000000000000004">
      <c r="A422" s="5" t="s">
        <v>593</v>
      </c>
      <c r="B422" s="6" t="s">
        <v>31</v>
      </c>
      <c r="C422" s="6" t="s">
        <v>283</v>
      </c>
      <c r="D422" s="5" t="s">
        <v>609</v>
      </c>
      <c r="E422" s="6" t="s">
        <v>50</v>
      </c>
      <c r="F422" s="6" t="s">
        <v>610</v>
      </c>
      <c r="G422" s="6" t="s">
        <v>17</v>
      </c>
      <c r="H422" s="6">
        <v>0</v>
      </c>
      <c r="I422" s="6" t="s">
        <v>596</v>
      </c>
      <c r="J422" s="6">
        <v>2</v>
      </c>
      <c r="K422" s="7" t="str">
        <f t="shared" si="4"/>
        <v>D151</v>
      </c>
      <c r="L422" s="8"/>
      <c r="M422" s="9" t="str">
        <f t="shared" si="5"/>
        <v>ITP1543</v>
      </c>
      <c r="N422" s="9">
        <f t="shared" si="6"/>
        <v>7</v>
      </c>
      <c r="O422" s="9" t="str">
        <f t="shared" si="7"/>
        <v>P/1ITP1543</v>
      </c>
    </row>
    <row r="423" spans="1:15" ht="17.5" x14ac:dyDescent="0.55000000000000004">
      <c r="A423" s="10" t="s">
        <v>593</v>
      </c>
      <c r="B423" s="11" t="s">
        <v>31</v>
      </c>
      <c r="C423" s="11" t="s">
        <v>283</v>
      </c>
      <c r="D423" s="10" t="s">
        <v>605</v>
      </c>
      <c r="E423" s="11" t="s">
        <v>50</v>
      </c>
      <c r="F423" s="11" t="s">
        <v>606</v>
      </c>
      <c r="G423" s="11" t="s">
        <v>17</v>
      </c>
      <c r="H423" s="11">
        <v>0</v>
      </c>
      <c r="I423" s="11" t="s">
        <v>596</v>
      </c>
      <c r="J423" s="11">
        <v>2</v>
      </c>
      <c r="K423" s="7" t="str">
        <f t="shared" si="4"/>
        <v>D151</v>
      </c>
      <c r="L423" s="8"/>
      <c r="M423" s="9" t="str">
        <f t="shared" si="5"/>
        <v>ITP1652</v>
      </c>
      <c r="N423" s="9">
        <f t="shared" si="6"/>
        <v>7</v>
      </c>
      <c r="O423" s="9" t="str">
        <f t="shared" si="7"/>
        <v>P/1ITP1652</v>
      </c>
    </row>
    <row r="424" spans="1:15" ht="17.5" x14ac:dyDescent="0.55000000000000004">
      <c r="A424" s="5" t="s">
        <v>593</v>
      </c>
      <c r="B424" s="6" t="s">
        <v>31</v>
      </c>
      <c r="C424" s="6" t="s">
        <v>49</v>
      </c>
      <c r="D424" s="5" t="s">
        <v>601</v>
      </c>
      <c r="E424" s="6" t="s">
        <v>50</v>
      </c>
      <c r="F424" s="6" t="s">
        <v>602</v>
      </c>
      <c r="G424" s="6" t="s">
        <v>17</v>
      </c>
      <c r="H424" s="6">
        <v>0</v>
      </c>
      <c r="I424" s="6" t="s">
        <v>596</v>
      </c>
      <c r="J424" s="6">
        <v>2</v>
      </c>
      <c r="K424" s="7" t="str">
        <f t="shared" si="4"/>
        <v>D151</v>
      </c>
      <c r="L424" s="8"/>
      <c r="M424" s="9" t="str">
        <f t="shared" si="5"/>
        <v>ITP1534</v>
      </c>
      <c r="N424" s="9">
        <f t="shared" si="6"/>
        <v>7</v>
      </c>
      <c r="O424" s="9" t="str">
        <f t="shared" si="7"/>
        <v>P/1ITP1534</v>
      </c>
    </row>
    <row r="425" spans="1:15" ht="17.5" x14ac:dyDescent="0.55000000000000004">
      <c r="A425" s="10" t="s">
        <v>593</v>
      </c>
      <c r="B425" s="11" t="s">
        <v>31</v>
      </c>
      <c r="C425" s="11" t="s">
        <v>260</v>
      </c>
      <c r="D425" s="10" t="s">
        <v>607</v>
      </c>
      <c r="E425" s="11" t="s">
        <v>50</v>
      </c>
      <c r="F425" s="11" t="s">
        <v>608</v>
      </c>
      <c r="G425" s="11" t="s">
        <v>17</v>
      </c>
      <c r="H425" s="11">
        <v>0</v>
      </c>
      <c r="I425" s="11" t="s">
        <v>596</v>
      </c>
      <c r="J425" s="11">
        <v>2</v>
      </c>
      <c r="K425" s="7" t="str">
        <f t="shared" si="4"/>
        <v>D151</v>
      </c>
      <c r="L425" s="8"/>
      <c r="M425" s="9" t="str">
        <f t="shared" si="5"/>
        <v>ITP1653</v>
      </c>
      <c r="N425" s="9">
        <f t="shared" si="6"/>
        <v>7</v>
      </c>
      <c r="O425" s="9" t="str">
        <f t="shared" si="7"/>
        <v>P/1ITP1653</v>
      </c>
    </row>
    <row r="426" spans="1:15" ht="17.5" x14ac:dyDescent="0.55000000000000004">
      <c r="A426" s="5" t="s">
        <v>593</v>
      </c>
      <c r="B426" s="6" t="s">
        <v>41</v>
      </c>
      <c r="C426" s="6" t="s">
        <v>14</v>
      </c>
      <c r="D426" s="5" t="s">
        <v>611</v>
      </c>
      <c r="E426" s="6" t="s">
        <v>16</v>
      </c>
      <c r="F426" s="6" t="s">
        <v>612</v>
      </c>
      <c r="G426" s="6" t="s">
        <v>17</v>
      </c>
      <c r="H426" s="6">
        <v>0</v>
      </c>
      <c r="I426" s="6" t="s">
        <v>596</v>
      </c>
      <c r="J426" s="6">
        <v>2</v>
      </c>
      <c r="K426" s="7" t="str">
        <f t="shared" si="4"/>
        <v>D151</v>
      </c>
      <c r="L426" s="8"/>
      <c r="M426" s="9" t="str">
        <f t="shared" si="5"/>
        <v>ITP1533</v>
      </c>
      <c r="N426" s="9">
        <f t="shared" si="6"/>
        <v>7</v>
      </c>
      <c r="O426" s="9" t="str">
        <f t="shared" si="7"/>
        <v>K/1ITP1533</v>
      </c>
    </row>
    <row r="427" spans="1:15" ht="17.5" x14ac:dyDescent="0.55000000000000004">
      <c r="A427" s="10" t="s">
        <v>593</v>
      </c>
      <c r="B427" s="11" t="s">
        <v>41</v>
      </c>
      <c r="C427" s="11" t="s">
        <v>14</v>
      </c>
      <c r="D427" s="10" t="s">
        <v>609</v>
      </c>
      <c r="E427" s="11" t="s">
        <v>16</v>
      </c>
      <c r="F427" s="11" t="s">
        <v>610</v>
      </c>
      <c r="G427" s="11" t="s">
        <v>17</v>
      </c>
      <c r="H427" s="11">
        <v>0</v>
      </c>
      <c r="I427" s="11" t="s">
        <v>596</v>
      </c>
      <c r="J427" s="11">
        <v>2</v>
      </c>
      <c r="K427" s="7" t="str">
        <f t="shared" si="4"/>
        <v>D151</v>
      </c>
      <c r="L427" s="8"/>
      <c r="M427" s="9" t="str">
        <f t="shared" si="5"/>
        <v>ITP1543</v>
      </c>
      <c r="N427" s="9">
        <f t="shared" si="6"/>
        <v>7</v>
      </c>
      <c r="O427" s="9" t="str">
        <f t="shared" si="7"/>
        <v>K/1ITP1543</v>
      </c>
    </row>
    <row r="428" spans="1:15" ht="17.5" x14ac:dyDescent="0.55000000000000004">
      <c r="A428" s="5" t="s">
        <v>593</v>
      </c>
      <c r="B428" s="6" t="s">
        <v>41</v>
      </c>
      <c r="C428" s="6" t="s">
        <v>14</v>
      </c>
      <c r="D428" s="5" t="s">
        <v>613</v>
      </c>
      <c r="E428" s="6" t="s">
        <v>16</v>
      </c>
      <c r="F428" s="6" t="s">
        <v>595</v>
      </c>
      <c r="G428" s="6" t="s">
        <v>17</v>
      </c>
      <c r="H428" s="6">
        <v>0</v>
      </c>
      <c r="I428" s="6" t="s">
        <v>596</v>
      </c>
      <c r="J428" s="6">
        <v>2</v>
      </c>
      <c r="K428" s="7" t="str">
        <f t="shared" si="4"/>
        <v>D151</v>
      </c>
      <c r="L428" s="8"/>
      <c r="M428" s="9" t="str">
        <f t="shared" si="5"/>
        <v>ITP1613</v>
      </c>
      <c r="N428" s="9">
        <f t="shared" si="6"/>
        <v>7</v>
      </c>
      <c r="O428" s="9" t="str">
        <f t="shared" si="7"/>
        <v>K/1ITP1613</v>
      </c>
    </row>
    <row r="429" spans="1:15" ht="17.5" x14ac:dyDescent="0.55000000000000004">
      <c r="A429" s="10" t="s">
        <v>593</v>
      </c>
      <c r="B429" s="11" t="s">
        <v>41</v>
      </c>
      <c r="C429" s="11" t="s">
        <v>14</v>
      </c>
      <c r="D429" s="10" t="s">
        <v>614</v>
      </c>
      <c r="E429" s="11" t="s">
        <v>16</v>
      </c>
      <c r="F429" s="11" t="s">
        <v>615</v>
      </c>
      <c r="G429" s="11" t="s">
        <v>17</v>
      </c>
      <c r="H429" s="11">
        <v>0</v>
      </c>
      <c r="I429" s="11" t="s">
        <v>596</v>
      </c>
      <c r="J429" s="11">
        <v>2</v>
      </c>
      <c r="K429" s="7" t="str">
        <f t="shared" si="4"/>
        <v>D151</v>
      </c>
      <c r="L429" s="8"/>
      <c r="M429" s="9" t="str">
        <f t="shared" si="5"/>
        <v>ITP1622</v>
      </c>
      <c r="N429" s="9">
        <f t="shared" si="6"/>
        <v>7</v>
      </c>
      <c r="O429" s="9" t="str">
        <f t="shared" si="7"/>
        <v>K/1ITP1622</v>
      </c>
    </row>
    <row r="430" spans="1:15" ht="17.5" x14ac:dyDescent="0.55000000000000004">
      <c r="A430" s="5" t="s">
        <v>593</v>
      </c>
      <c r="B430" s="6" t="s">
        <v>41</v>
      </c>
      <c r="C430" s="6" t="s">
        <v>14</v>
      </c>
      <c r="D430" s="5" t="s">
        <v>616</v>
      </c>
      <c r="E430" s="6" t="s">
        <v>16</v>
      </c>
      <c r="F430" s="6" t="s">
        <v>617</v>
      </c>
      <c r="G430" s="6" t="s">
        <v>17</v>
      </c>
      <c r="H430" s="6">
        <v>0</v>
      </c>
      <c r="I430" s="6" t="s">
        <v>596</v>
      </c>
      <c r="J430" s="6">
        <v>2</v>
      </c>
      <c r="K430" s="7" t="str">
        <f t="shared" si="4"/>
        <v>D151</v>
      </c>
      <c r="L430" s="8"/>
      <c r="M430" s="9" t="str">
        <f t="shared" si="5"/>
        <v>ITP1625</v>
      </c>
      <c r="N430" s="9">
        <f t="shared" si="6"/>
        <v>7</v>
      </c>
      <c r="O430" s="9" t="str">
        <f t="shared" si="7"/>
        <v>K/1ITP1625</v>
      </c>
    </row>
    <row r="431" spans="1:15" ht="17.5" x14ac:dyDescent="0.55000000000000004">
      <c r="A431" s="10" t="s">
        <v>593</v>
      </c>
      <c r="B431" s="11" t="s">
        <v>41</v>
      </c>
      <c r="C431" s="11" t="s">
        <v>36</v>
      </c>
      <c r="D431" s="10" t="s">
        <v>611</v>
      </c>
      <c r="E431" s="11" t="s">
        <v>50</v>
      </c>
      <c r="F431" s="11" t="s">
        <v>612</v>
      </c>
      <c r="G431" s="11" t="s">
        <v>17</v>
      </c>
      <c r="H431" s="11">
        <v>0</v>
      </c>
      <c r="I431" s="11" t="s">
        <v>596</v>
      </c>
      <c r="J431" s="11">
        <v>2</v>
      </c>
      <c r="K431" s="7" t="str">
        <f t="shared" si="4"/>
        <v>D151</v>
      </c>
      <c r="L431" s="8"/>
      <c r="M431" s="9" t="str">
        <f t="shared" si="5"/>
        <v>ITP1533</v>
      </c>
      <c r="N431" s="9">
        <f t="shared" si="6"/>
        <v>7</v>
      </c>
      <c r="O431" s="9" t="str">
        <f t="shared" si="7"/>
        <v>P/1ITP1533</v>
      </c>
    </row>
    <row r="432" spans="1:15" ht="17.5" x14ac:dyDescent="0.55000000000000004">
      <c r="A432" s="5" t="s">
        <v>593</v>
      </c>
      <c r="B432" s="6" t="s">
        <v>41</v>
      </c>
      <c r="C432" s="6" t="s">
        <v>36</v>
      </c>
      <c r="D432" s="5" t="s">
        <v>603</v>
      </c>
      <c r="E432" s="6" t="s">
        <v>50</v>
      </c>
      <c r="F432" s="6" t="s">
        <v>604</v>
      </c>
      <c r="G432" s="6" t="s">
        <v>17</v>
      </c>
      <c r="H432" s="6">
        <v>0</v>
      </c>
      <c r="I432" s="6" t="s">
        <v>596</v>
      </c>
      <c r="J432" s="6">
        <v>2</v>
      </c>
      <c r="K432" s="7" t="str">
        <f t="shared" si="4"/>
        <v>D151</v>
      </c>
      <c r="L432" s="8"/>
      <c r="M432" s="9" t="str">
        <f t="shared" si="5"/>
        <v>ITP1542</v>
      </c>
      <c r="N432" s="9">
        <f t="shared" si="6"/>
        <v>7</v>
      </c>
      <c r="O432" s="9" t="str">
        <f t="shared" si="7"/>
        <v>P/1ITP1542</v>
      </c>
    </row>
    <row r="433" spans="1:15" ht="17.5" x14ac:dyDescent="0.55000000000000004">
      <c r="A433" s="10" t="s">
        <v>593</v>
      </c>
      <c r="B433" s="11" t="s">
        <v>41</v>
      </c>
      <c r="C433" s="11" t="s">
        <v>36</v>
      </c>
      <c r="D433" s="10" t="s">
        <v>613</v>
      </c>
      <c r="E433" s="11" t="s">
        <v>50</v>
      </c>
      <c r="F433" s="11" t="s">
        <v>595</v>
      </c>
      <c r="G433" s="11" t="s">
        <v>17</v>
      </c>
      <c r="H433" s="11">
        <v>0</v>
      </c>
      <c r="I433" s="11" t="s">
        <v>596</v>
      </c>
      <c r="J433" s="11">
        <v>2</v>
      </c>
      <c r="K433" s="7" t="str">
        <f t="shared" si="4"/>
        <v>D151</v>
      </c>
      <c r="L433" s="8"/>
      <c r="M433" s="9" t="str">
        <f t="shared" si="5"/>
        <v>ITP1613</v>
      </c>
      <c r="N433" s="9">
        <f t="shared" si="6"/>
        <v>7</v>
      </c>
      <c r="O433" s="9" t="str">
        <f t="shared" si="7"/>
        <v>P/1ITP1613</v>
      </c>
    </row>
    <row r="434" spans="1:15" ht="17.5" x14ac:dyDescent="0.55000000000000004">
      <c r="A434" s="5" t="s">
        <v>593</v>
      </c>
      <c r="B434" s="6" t="s">
        <v>41</v>
      </c>
      <c r="C434" s="6" t="s">
        <v>49</v>
      </c>
      <c r="D434" s="5" t="s">
        <v>614</v>
      </c>
      <c r="E434" s="6" t="s">
        <v>50</v>
      </c>
      <c r="F434" s="6" t="s">
        <v>615</v>
      </c>
      <c r="G434" s="6" t="s">
        <v>17</v>
      </c>
      <c r="H434" s="6">
        <v>0</v>
      </c>
      <c r="I434" s="6" t="s">
        <v>596</v>
      </c>
      <c r="J434" s="6">
        <v>2</v>
      </c>
      <c r="K434" s="7" t="str">
        <f t="shared" si="4"/>
        <v>D151</v>
      </c>
      <c r="L434" s="8"/>
      <c r="M434" s="9" t="str">
        <f t="shared" si="5"/>
        <v>ITP1622</v>
      </c>
      <c r="N434" s="9">
        <f t="shared" si="6"/>
        <v>7</v>
      </c>
      <c r="O434" s="9" t="str">
        <f t="shared" si="7"/>
        <v>P/1ITP1622</v>
      </c>
    </row>
    <row r="435" spans="1:15" ht="17.5" x14ac:dyDescent="0.55000000000000004">
      <c r="A435" s="10" t="s">
        <v>593</v>
      </c>
      <c r="B435" s="11" t="s">
        <v>47</v>
      </c>
      <c r="C435" s="11" t="s">
        <v>14</v>
      </c>
      <c r="D435" s="10" t="s">
        <v>618</v>
      </c>
      <c r="E435" s="11" t="s">
        <v>16</v>
      </c>
      <c r="F435" s="11" t="s">
        <v>595</v>
      </c>
      <c r="G435" s="11" t="s">
        <v>17</v>
      </c>
      <c r="H435" s="11">
        <v>0</v>
      </c>
      <c r="I435" s="11" t="s">
        <v>596</v>
      </c>
      <c r="J435" s="11">
        <v>2</v>
      </c>
      <c r="K435" s="7" t="str">
        <f t="shared" si="4"/>
        <v>D151</v>
      </c>
      <c r="L435" s="8"/>
      <c r="M435" s="9" t="str">
        <f t="shared" si="5"/>
        <v>ITP1514</v>
      </c>
      <c r="N435" s="9">
        <f t="shared" si="6"/>
        <v>7</v>
      </c>
      <c r="O435" s="9" t="str">
        <f t="shared" si="7"/>
        <v>K/1ITP1514</v>
      </c>
    </row>
    <row r="436" spans="1:15" ht="17.5" x14ac:dyDescent="0.55000000000000004">
      <c r="A436" s="5" t="s">
        <v>593</v>
      </c>
      <c r="B436" s="6" t="s">
        <v>47</v>
      </c>
      <c r="C436" s="6" t="s">
        <v>14</v>
      </c>
      <c r="D436" s="5" t="s">
        <v>619</v>
      </c>
      <c r="E436" s="6" t="s">
        <v>16</v>
      </c>
      <c r="F436" s="6" t="s">
        <v>620</v>
      </c>
      <c r="G436" s="6" t="s">
        <v>17</v>
      </c>
      <c r="H436" s="6">
        <v>0</v>
      </c>
      <c r="I436" s="6" t="s">
        <v>596</v>
      </c>
      <c r="J436" s="6">
        <v>2</v>
      </c>
      <c r="K436" s="7" t="str">
        <f t="shared" si="4"/>
        <v>D151</v>
      </c>
      <c r="L436" s="8"/>
      <c r="M436" s="9" t="str">
        <f t="shared" si="5"/>
        <v>ITP1523</v>
      </c>
      <c r="N436" s="9">
        <f t="shared" si="6"/>
        <v>7</v>
      </c>
      <c r="O436" s="9" t="str">
        <f t="shared" si="7"/>
        <v>K/1ITP1523</v>
      </c>
    </row>
    <row r="437" spans="1:15" ht="17.5" x14ac:dyDescent="0.55000000000000004">
      <c r="A437" s="10" t="s">
        <v>593</v>
      </c>
      <c r="B437" s="11" t="s">
        <v>47</v>
      </c>
      <c r="C437" s="11" t="s">
        <v>14</v>
      </c>
      <c r="D437" s="10" t="s">
        <v>621</v>
      </c>
      <c r="E437" s="11" t="s">
        <v>16</v>
      </c>
      <c r="F437" s="11" t="s">
        <v>622</v>
      </c>
      <c r="G437" s="11" t="s">
        <v>17</v>
      </c>
      <c r="H437" s="11">
        <v>0</v>
      </c>
      <c r="I437" s="11" t="s">
        <v>596</v>
      </c>
      <c r="J437" s="11">
        <v>2</v>
      </c>
      <c r="K437" s="7" t="str">
        <f t="shared" si="4"/>
        <v>D151</v>
      </c>
      <c r="L437" s="8"/>
      <c r="M437" s="9" t="str">
        <f t="shared" si="5"/>
        <v>ITP1544</v>
      </c>
      <c r="N437" s="9">
        <f t="shared" si="6"/>
        <v>7</v>
      </c>
      <c r="O437" s="9" t="str">
        <f t="shared" si="7"/>
        <v>K/1ITP1544</v>
      </c>
    </row>
    <row r="438" spans="1:15" ht="17.5" x14ac:dyDescent="0.55000000000000004">
      <c r="A438" s="5" t="s">
        <v>593</v>
      </c>
      <c r="B438" s="6" t="s">
        <v>47</v>
      </c>
      <c r="C438" s="6" t="s">
        <v>14</v>
      </c>
      <c r="D438" s="5" t="s">
        <v>623</v>
      </c>
      <c r="E438" s="6" t="s">
        <v>16</v>
      </c>
      <c r="F438" s="6" t="s">
        <v>624</v>
      </c>
      <c r="G438" s="6" t="s">
        <v>17</v>
      </c>
      <c r="H438" s="6">
        <v>0</v>
      </c>
      <c r="I438" s="6" t="s">
        <v>596</v>
      </c>
      <c r="J438" s="6">
        <v>2</v>
      </c>
      <c r="K438" s="7" t="str">
        <f t="shared" si="4"/>
        <v>D151</v>
      </c>
      <c r="L438" s="8"/>
      <c r="M438" s="9" t="str">
        <f t="shared" si="5"/>
        <v>ITP1636</v>
      </c>
      <c r="N438" s="9">
        <f t="shared" si="6"/>
        <v>7</v>
      </c>
      <c r="O438" s="9" t="str">
        <f t="shared" si="7"/>
        <v>K/1ITP1636</v>
      </c>
    </row>
    <row r="439" spans="1:15" ht="17.5" x14ac:dyDescent="0.55000000000000004">
      <c r="A439" s="10" t="s">
        <v>593</v>
      </c>
      <c r="B439" s="11" t="s">
        <v>47</v>
      </c>
      <c r="C439" s="11" t="s">
        <v>283</v>
      </c>
      <c r="D439" s="10" t="s">
        <v>618</v>
      </c>
      <c r="E439" s="11" t="s">
        <v>50</v>
      </c>
      <c r="F439" s="11" t="s">
        <v>595</v>
      </c>
      <c r="G439" s="11" t="s">
        <v>17</v>
      </c>
      <c r="H439" s="11">
        <v>0</v>
      </c>
      <c r="I439" s="11" t="s">
        <v>596</v>
      </c>
      <c r="J439" s="11">
        <v>2</v>
      </c>
      <c r="K439" s="7" t="str">
        <f t="shared" si="4"/>
        <v>D151</v>
      </c>
      <c r="L439" s="8"/>
      <c r="M439" s="9" t="str">
        <f t="shared" si="5"/>
        <v>ITP1514</v>
      </c>
      <c r="N439" s="9">
        <f t="shared" si="6"/>
        <v>7</v>
      </c>
      <c r="O439" s="9" t="str">
        <f t="shared" si="7"/>
        <v>P/1ITP1514</v>
      </c>
    </row>
    <row r="440" spans="1:15" ht="17.5" x14ac:dyDescent="0.55000000000000004">
      <c r="A440" s="5" t="s">
        <v>593</v>
      </c>
      <c r="B440" s="6" t="s">
        <v>47</v>
      </c>
      <c r="C440" s="6" t="s">
        <v>283</v>
      </c>
      <c r="D440" s="5" t="s">
        <v>619</v>
      </c>
      <c r="E440" s="6" t="s">
        <v>50</v>
      </c>
      <c r="F440" s="6" t="s">
        <v>620</v>
      </c>
      <c r="G440" s="6" t="s">
        <v>17</v>
      </c>
      <c r="H440" s="6">
        <v>0</v>
      </c>
      <c r="I440" s="6" t="s">
        <v>596</v>
      </c>
      <c r="J440" s="6">
        <v>2</v>
      </c>
      <c r="K440" s="7" t="str">
        <f t="shared" si="4"/>
        <v>D151</v>
      </c>
      <c r="L440" s="8"/>
      <c r="M440" s="9" t="str">
        <f t="shared" si="5"/>
        <v>ITP1523</v>
      </c>
      <c r="N440" s="9">
        <f t="shared" si="6"/>
        <v>7</v>
      </c>
      <c r="O440" s="9" t="str">
        <f t="shared" si="7"/>
        <v>P/1ITP1523</v>
      </c>
    </row>
    <row r="441" spans="1:15" ht="17.5" x14ac:dyDescent="0.55000000000000004">
      <c r="A441" s="10" t="s">
        <v>593</v>
      </c>
      <c r="B441" s="11" t="s">
        <v>47</v>
      </c>
      <c r="C441" s="11" t="s">
        <v>283</v>
      </c>
      <c r="D441" s="10" t="s">
        <v>621</v>
      </c>
      <c r="E441" s="11" t="s">
        <v>50</v>
      </c>
      <c r="F441" s="11" t="s">
        <v>622</v>
      </c>
      <c r="G441" s="11" t="s">
        <v>17</v>
      </c>
      <c r="H441" s="11">
        <v>0</v>
      </c>
      <c r="I441" s="11" t="s">
        <v>596</v>
      </c>
      <c r="J441" s="11">
        <v>2</v>
      </c>
      <c r="K441" s="7" t="str">
        <f t="shared" si="4"/>
        <v>D151</v>
      </c>
      <c r="L441" s="8"/>
      <c r="M441" s="9" t="str">
        <f t="shared" si="5"/>
        <v>ITP1544</v>
      </c>
      <c r="N441" s="9">
        <f t="shared" si="6"/>
        <v>7</v>
      </c>
      <c r="O441" s="9" t="str">
        <f t="shared" si="7"/>
        <v>P/1ITP1544</v>
      </c>
    </row>
    <row r="442" spans="1:15" ht="17.5" x14ac:dyDescent="0.55000000000000004">
      <c r="A442" s="5" t="s">
        <v>593</v>
      </c>
      <c r="B442" s="6" t="s">
        <v>47</v>
      </c>
      <c r="C442" s="6" t="s">
        <v>28</v>
      </c>
      <c r="D442" s="5" t="s">
        <v>623</v>
      </c>
      <c r="E442" s="6" t="s">
        <v>50</v>
      </c>
      <c r="F442" s="6" t="s">
        <v>624</v>
      </c>
      <c r="G442" s="6" t="s">
        <v>17</v>
      </c>
      <c r="H442" s="6">
        <v>0</v>
      </c>
      <c r="I442" s="6" t="s">
        <v>596</v>
      </c>
      <c r="J442" s="6">
        <v>2</v>
      </c>
      <c r="K442" s="7" t="str">
        <f t="shared" si="4"/>
        <v>D151</v>
      </c>
      <c r="L442" s="8"/>
      <c r="M442" s="9" t="str">
        <f t="shared" si="5"/>
        <v>ITP1636</v>
      </c>
      <c r="N442" s="9">
        <f t="shared" si="6"/>
        <v>7</v>
      </c>
      <c r="O442" s="9" t="str">
        <f t="shared" si="7"/>
        <v>P/1ITP1636</v>
      </c>
    </row>
    <row r="443" spans="1:15" ht="17.5" x14ac:dyDescent="0.55000000000000004">
      <c r="A443" s="10" t="s">
        <v>593</v>
      </c>
      <c r="B443" s="11" t="s">
        <v>52</v>
      </c>
      <c r="C443" s="11" t="s">
        <v>14</v>
      </c>
      <c r="D443" s="10" t="s">
        <v>625</v>
      </c>
      <c r="E443" s="11" t="s">
        <v>16</v>
      </c>
      <c r="F443" s="11" t="s">
        <v>620</v>
      </c>
      <c r="G443" s="11" t="s">
        <v>17</v>
      </c>
      <c r="H443" s="11">
        <v>0</v>
      </c>
      <c r="I443" s="11" t="s">
        <v>596</v>
      </c>
      <c r="J443" s="11">
        <v>2</v>
      </c>
      <c r="K443" s="7" t="str">
        <f t="shared" si="4"/>
        <v>D151</v>
      </c>
      <c r="L443" s="8"/>
      <c r="M443" s="9" t="str">
        <f t="shared" si="5"/>
        <v>ITP1524</v>
      </c>
      <c r="N443" s="9">
        <f t="shared" si="6"/>
        <v>7</v>
      </c>
      <c r="O443" s="9" t="str">
        <f t="shared" si="7"/>
        <v>K/1ITP1524</v>
      </c>
    </row>
    <row r="444" spans="1:15" ht="17.5" x14ac:dyDescent="0.55000000000000004">
      <c r="A444" s="5" t="s">
        <v>593</v>
      </c>
      <c r="B444" s="6" t="s">
        <v>52</v>
      </c>
      <c r="C444" s="6" t="s">
        <v>14</v>
      </c>
      <c r="D444" s="5" t="s">
        <v>626</v>
      </c>
      <c r="E444" s="6" t="s">
        <v>16</v>
      </c>
      <c r="F444" s="6" t="s">
        <v>627</v>
      </c>
      <c r="G444" s="6" t="s">
        <v>17</v>
      </c>
      <c r="H444" s="6">
        <v>0</v>
      </c>
      <c r="I444" s="6" t="s">
        <v>596</v>
      </c>
      <c r="J444" s="6">
        <v>2</v>
      </c>
      <c r="K444" s="7" t="str">
        <f t="shared" si="4"/>
        <v>D151</v>
      </c>
      <c r="L444" s="8"/>
      <c r="M444" s="9" t="str">
        <f t="shared" si="5"/>
        <v>ITP1545</v>
      </c>
      <c r="N444" s="9">
        <f t="shared" si="6"/>
        <v>7</v>
      </c>
      <c r="O444" s="9" t="str">
        <f t="shared" si="7"/>
        <v>K/1ITP1545</v>
      </c>
    </row>
    <row r="445" spans="1:15" ht="17.5" x14ac:dyDescent="0.55000000000000004">
      <c r="A445" s="10" t="s">
        <v>593</v>
      </c>
      <c r="B445" s="11" t="s">
        <v>52</v>
      </c>
      <c r="C445" s="11" t="s">
        <v>14</v>
      </c>
      <c r="D445" s="10" t="s">
        <v>628</v>
      </c>
      <c r="E445" s="11" t="s">
        <v>16</v>
      </c>
      <c r="F445" s="11" t="s">
        <v>606</v>
      </c>
      <c r="G445" s="11" t="s">
        <v>17</v>
      </c>
      <c r="H445" s="11">
        <v>0</v>
      </c>
      <c r="I445" s="11" t="s">
        <v>596</v>
      </c>
      <c r="J445" s="11">
        <v>2</v>
      </c>
      <c r="K445" s="7" t="str">
        <f t="shared" si="4"/>
        <v>D151</v>
      </c>
      <c r="L445" s="8"/>
      <c r="M445" s="9" t="str">
        <f t="shared" si="5"/>
        <v>ITP1555</v>
      </c>
      <c r="N445" s="9">
        <f t="shared" si="6"/>
        <v>7</v>
      </c>
      <c r="O445" s="9" t="str">
        <f t="shared" si="7"/>
        <v>K/1ITP1555</v>
      </c>
    </row>
    <row r="446" spans="1:15" ht="17.5" x14ac:dyDescent="0.55000000000000004">
      <c r="A446" s="5" t="s">
        <v>593</v>
      </c>
      <c r="B446" s="6" t="s">
        <v>52</v>
      </c>
      <c r="C446" s="6" t="s">
        <v>14</v>
      </c>
      <c r="D446" s="5" t="s">
        <v>629</v>
      </c>
      <c r="E446" s="6" t="s">
        <v>16</v>
      </c>
      <c r="F446" s="6" t="s">
        <v>630</v>
      </c>
      <c r="G446" s="6" t="s">
        <v>17</v>
      </c>
      <c r="H446" s="6">
        <v>0</v>
      </c>
      <c r="I446" s="6" t="s">
        <v>596</v>
      </c>
      <c r="J446" s="6">
        <v>2</v>
      </c>
      <c r="K446" s="7" t="str">
        <f t="shared" si="4"/>
        <v>D151</v>
      </c>
      <c r="L446" s="8"/>
      <c r="M446" s="9" t="str">
        <f t="shared" si="5"/>
        <v>ITP1557</v>
      </c>
      <c r="N446" s="9">
        <f t="shared" si="6"/>
        <v>7</v>
      </c>
      <c r="O446" s="9" t="str">
        <f t="shared" si="7"/>
        <v>K/1ITP1557</v>
      </c>
    </row>
    <row r="447" spans="1:15" ht="17.5" x14ac:dyDescent="0.55000000000000004">
      <c r="A447" s="10" t="s">
        <v>593</v>
      </c>
      <c r="B447" s="11" t="s">
        <v>52</v>
      </c>
      <c r="C447" s="11" t="s">
        <v>28</v>
      </c>
      <c r="D447" s="10" t="s">
        <v>625</v>
      </c>
      <c r="E447" s="11" t="s">
        <v>50</v>
      </c>
      <c r="F447" s="11" t="s">
        <v>620</v>
      </c>
      <c r="G447" s="11" t="s">
        <v>17</v>
      </c>
      <c r="H447" s="11">
        <v>0</v>
      </c>
      <c r="I447" s="11" t="s">
        <v>596</v>
      </c>
      <c r="J447" s="11">
        <v>2</v>
      </c>
      <c r="K447" s="7" t="str">
        <f t="shared" si="4"/>
        <v>D151</v>
      </c>
      <c r="L447" s="8"/>
      <c r="M447" s="9" t="str">
        <f t="shared" si="5"/>
        <v>ITP1524</v>
      </c>
      <c r="N447" s="9">
        <f t="shared" si="6"/>
        <v>7</v>
      </c>
      <c r="O447" s="9" t="str">
        <f t="shared" si="7"/>
        <v>P/1ITP1524</v>
      </c>
    </row>
    <row r="448" spans="1:15" ht="17.5" x14ac:dyDescent="0.55000000000000004">
      <c r="A448" s="5" t="s">
        <v>593</v>
      </c>
      <c r="B448" s="6" t="s">
        <v>52</v>
      </c>
      <c r="C448" s="6" t="s">
        <v>28</v>
      </c>
      <c r="D448" s="5" t="s">
        <v>626</v>
      </c>
      <c r="E448" s="6" t="s">
        <v>50</v>
      </c>
      <c r="F448" s="6" t="s">
        <v>627</v>
      </c>
      <c r="G448" s="6" t="s">
        <v>17</v>
      </c>
      <c r="H448" s="6">
        <v>0</v>
      </c>
      <c r="I448" s="6" t="s">
        <v>596</v>
      </c>
      <c r="J448" s="6">
        <v>2</v>
      </c>
      <c r="K448" s="7" t="str">
        <f t="shared" si="4"/>
        <v>D151</v>
      </c>
      <c r="L448" s="8"/>
      <c r="M448" s="9" t="str">
        <f t="shared" si="5"/>
        <v>ITP1545</v>
      </c>
      <c r="N448" s="9">
        <f t="shared" si="6"/>
        <v>7</v>
      </c>
      <c r="O448" s="9" t="str">
        <f t="shared" si="7"/>
        <v>P/1ITP1545</v>
      </c>
    </row>
    <row r="449" spans="1:15" ht="17.5" x14ac:dyDescent="0.55000000000000004">
      <c r="A449" s="10" t="s">
        <v>593</v>
      </c>
      <c r="B449" s="11" t="s">
        <v>52</v>
      </c>
      <c r="C449" s="11" t="s">
        <v>28</v>
      </c>
      <c r="D449" s="10" t="s">
        <v>628</v>
      </c>
      <c r="E449" s="11" t="s">
        <v>50</v>
      </c>
      <c r="F449" s="11" t="s">
        <v>606</v>
      </c>
      <c r="G449" s="11" t="s">
        <v>17</v>
      </c>
      <c r="H449" s="11">
        <v>0</v>
      </c>
      <c r="I449" s="11" t="s">
        <v>596</v>
      </c>
      <c r="J449" s="11">
        <v>2</v>
      </c>
      <c r="K449" s="7" t="str">
        <f t="shared" si="4"/>
        <v>D151</v>
      </c>
      <c r="L449" s="8"/>
      <c r="M449" s="9" t="str">
        <f t="shared" si="5"/>
        <v>ITP1555</v>
      </c>
      <c r="N449" s="9">
        <f t="shared" si="6"/>
        <v>7</v>
      </c>
      <c r="O449" s="9" t="str">
        <f t="shared" si="7"/>
        <v>P/1ITP1555</v>
      </c>
    </row>
    <row r="450" spans="1:15" ht="17.5" x14ac:dyDescent="0.55000000000000004">
      <c r="A450" s="5" t="s">
        <v>593</v>
      </c>
      <c r="B450" s="6" t="s">
        <v>52</v>
      </c>
      <c r="C450" s="6" t="s">
        <v>28</v>
      </c>
      <c r="D450" s="5" t="s">
        <v>629</v>
      </c>
      <c r="E450" s="6" t="s">
        <v>50</v>
      </c>
      <c r="F450" s="6" t="s">
        <v>630</v>
      </c>
      <c r="G450" s="6" t="s">
        <v>17</v>
      </c>
      <c r="H450" s="6">
        <v>0</v>
      </c>
      <c r="I450" s="6" t="s">
        <v>596</v>
      </c>
      <c r="J450" s="6">
        <v>2</v>
      </c>
      <c r="K450" s="7" t="str">
        <f t="shared" si="4"/>
        <v>D151</v>
      </c>
      <c r="L450" s="8"/>
      <c r="M450" s="9" t="str">
        <f t="shared" si="5"/>
        <v>ITP1557</v>
      </c>
      <c r="N450" s="9">
        <f t="shared" si="6"/>
        <v>7</v>
      </c>
      <c r="O450" s="9" t="str">
        <f t="shared" si="7"/>
        <v>P/1ITP1557</v>
      </c>
    </row>
    <row r="451" spans="1:15" ht="17.5" x14ac:dyDescent="0.55000000000000004">
      <c r="A451" s="10" t="s">
        <v>593</v>
      </c>
      <c r="B451" s="11" t="s">
        <v>195</v>
      </c>
      <c r="C451" s="11" t="s">
        <v>14</v>
      </c>
      <c r="D451" s="10" t="s">
        <v>631</v>
      </c>
      <c r="E451" s="11" t="s">
        <v>16</v>
      </c>
      <c r="F451" s="11" t="s">
        <v>632</v>
      </c>
      <c r="G451" s="11" t="s">
        <v>17</v>
      </c>
      <c r="H451" s="11">
        <v>0</v>
      </c>
      <c r="I451" s="11" t="s">
        <v>596</v>
      </c>
      <c r="J451" s="11">
        <v>2</v>
      </c>
      <c r="K451" s="7" t="str">
        <f t="shared" si="4"/>
        <v>D151</v>
      </c>
      <c r="L451" s="8"/>
      <c r="M451" s="9" t="str">
        <f t="shared" si="5"/>
        <v>ITP1654</v>
      </c>
      <c r="N451" s="9">
        <f t="shared" si="6"/>
        <v>7</v>
      </c>
      <c r="O451" s="9" t="str">
        <f t="shared" si="7"/>
        <v>K/1ITP1654</v>
      </c>
    </row>
    <row r="452" spans="1:15" ht="17.5" x14ac:dyDescent="0.55000000000000004">
      <c r="A452" s="5" t="s">
        <v>593</v>
      </c>
      <c r="B452" s="6" t="s">
        <v>195</v>
      </c>
      <c r="C452" s="6" t="s">
        <v>283</v>
      </c>
      <c r="D452" s="5" t="s">
        <v>631</v>
      </c>
      <c r="E452" s="6" t="s">
        <v>50</v>
      </c>
      <c r="F452" s="6" t="s">
        <v>632</v>
      </c>
      <c r="G452" s="6" t="s">
        <v>17</v>
      </c>
      <c r="H452" s="6">
        <v>0</v>
      </c>
      <c r="I452" s="6" t="s">
        <v>596</v>
      </c>
      <c r="J452" s="6">
        <v>2</v>
      </c>
      <c r="K452" s="7" t="str">
        <f t="shared" si="4"/>
        <v>D151</v>
      </c>
      <c r="L452" s="8"/>
      <c r="M452" s="9" t="str">
        <f t="shared" si="5"/>
        <v>ITP1654</v>
      </c>
      <c r="N452" s="9">
        <f t="shared" si="6"/>
        <v>7</v>
      </c>
      <c r="O452" s="9" t="str">
        <f t="shared" si="7"/>
        <v>P/1ITP1654</v>
      </c>
    </row>
    <row r="453" spans="1:15" ht="17.5" x14ac:dyDescent="0.55000000000000004">
      <c r="A453" s="13" t="s">
        <v>633</v>
      </c>
      <c r="B453" s="11" t="s">
        <v>13</v>
      </c>
      <c r="C453" s="11" t="s">
        <v>14</v>
      </c>
      <c r="D453" s="13" t="s">
        <v>634</v>
      </c>
      <c r="E453" s="11" t="s">
        <v>16</v>
      </c>
      <c r="F453" s="11" t="s">
        <v>635</v>
      </c>
      <c r="G453" s="11" t="s">
        <v>17</v>
      </c>
      <c r="H453" s="11">
        <v>0</v>
      </c>
      <c r="I453" s="11" t="s">
        <v>636</v>
      </c>
      <c r="J453" s="11">
        <v>2</v>
      </c>
      <c r="K453" s="7" t="str">
        <f t="shared" si="4"/>
        <v>D251</v>
      </c>
      <c r="L453" s="8"/>
      <c r="M453" s="9" t="str">
        <f t="shared" si="5"/>
        <v>INP1622</v>
      </c>
      <c r="N453" s="9">
        <f t="shared" si="6"/>
        <v>7</v>
      </c>
      <c r="O453" s="9" t="str">
        <f t="shared" si="7"/>
        <v>K/1INP1622</v>
      </c>
    </row>
    <row r="454" spans="1:15" ht="17.5" x14ac:dyDescent="0.55000000000000004">
      <c r="A454" s="12" t="s">
        <v>633</v>
      </c>
      <c r="B454" s="6" t="s">
        <v>13</v>
      </c>
      <c r="C454" s="6" t="s">
        <v>14</v>
      </c>
      <c r="D454" s="12" t="s">
        <v>637</v>
      </c>
      <c r="E454" s="6" t="s">
        <v>16</v>
      </c>
      <c r="F454" s="6" t="s">
        <v>638</v>
      </c>
      <c r="G454" s="6" t="s">
        <v>17</v>
      </c>
      <c r="H454" s="6">
        <v>0</v>
      </c>
      <c r="I454" s="6" t="s">
        <v>636</v>
      </c>
      <c r="J454" s="6">
        <v>2</v>
      </c>
      <c r="K454" s="7" t="str">
        <f t="shared" si="4"/>
        <v>D251</v>
      </c>
      <c r="L454" s="8"/>
      <c r="M454" s="9" t="str">
        <f t="shared" si="5"/>
        <v>INP1633</v>
      </c>
      <c r="N454" s="9">
        <f t="shared" si="6"/>
        <v>7</v>
      </c>
      <c r="O454" s="9" t="str">
        <f t="shared" si="7"/>
        <v>K/1INP1633</v>
      </c>
    </row>
    <row r="455" spans="1:15" ht="17.5" x14ac:dyDescent="0.55000000000000004">
      <c r="A455" s="13" t="s">
        <v>633</v>
      </c>
      <c r="B455" s="11" t="s">
        <v>13</v>
      </c>
      <c r="C455" s="11" t="s">
        <v>639</v>
      </c>
      <c r="D455" s="13" t="s">
        <v>640</v>
      </c>
      <c r="E455" s="11" t="s">
        <v>16</v>
      </c>
      <c r="F455" s="11" t="s">
        <v>641</v>
      </c>
      <c r="G455" s="11" t="s">
        <v>17</v>
      </c>
      <c r="H455" s="11">
        <v>0</v>
      </c>
      <c r="I455" s="11" t="s">
        <v>636</v>
      </c>
      <c r="J455" s="11">
        <v>2</v>
      </c>
      <c r="K455" s="7" t="str">
        <f t="shared" si="4"/>
        <v>D251</v>
      </c>
      <c r="L455" s="8"/>
      <c r="M455" s="9" t="str">
        <f t="shared" si="5"/>
        <v>INP1642</v>
      </c>
      <c r="N455" s="9">
        <f t="shared" si="6"/>
        <v>7</v>
      </c>
      <c r="O455" s="9" t="str">
        <f t="shared" si="7"/>
        <v>K/1INP1642</v>
      </c>
    </row>
    <row r="456" spans="1:15" ht="17.5" x14ac:dyDescent="0.55000000000000004">
      <c r="A456" s="12" t="s">
        <v>633</v>
      </c>
      <c r="B456" s="6" t="s">
        <v>13</v>
      </c>
      <c r="C456" s="6" t="s">
        <v>49</v>
      </c>
      <c r="D456" s="12" t="s">
        <v>634</v>
      </c>
      <c r="E456" s="6" t="s">
        <v>50</v>
      </c>
      <c r="F456" s="6" t="s">
        <v>635</v>
      </c>
      <c r="G456" s="6" t="s">
        <v>17</v>
      </c>
      <c r="H456" s="6">
        <v>0</v>
      </c>
      <c r="I456" s="6" t="s">
        <v>636</v>
      </c>
      <c r="J456" s="6">
        <v>2</v>
      </c>
      <c r="K456" s="7" t="str">
        <f t="shared" si="4"/>
        <v>D251</v>
      </c>
      <c r="L456" s="8"/>
      <c r="M456" s="9" t="str">
        <f t="shared" si="5"/>
        <v>INP1622</v>
      </c>
      <c r="N456" s="9">
        <f t="shared" si="6"/>
        <v>7</v>
      </c>
      <c r="O456" s="9" t="str">
        <f t="shared" si="7"/>
        <v>P/1INP1622</v>
      </c>
    </row>
    <row r="457" spans="1:15" ht="17.5" x14ac:dyDescent="0.55000000000000004">
      <c r="A457" s="13" t="s">
        <v>633</v>
      </c>
      <c r="B457" s="11" t="s">
        <v>13</v>
      </c>
      <c r="C457" s="11" t="s">
        <v>49</v>
      </c>
      <c r="D457" s="13" t="s">
        <v>637</v>
      </c>
      <c r="E457" s="11" t="s">
        <v>50</v>
      </c>
      <c r="F457" s="11" t="s">
        <v>638</v>
      </c>
      <c r="G457" s="11" t="s">
        <v>17</v>
      </c>
      <c r="H457" s="11">
        <v>0</v>
      </c>
      <c r="I457" s="11" t="s">
        <v>636</v>
      </c>
      <c r="J457" s="11">
        <v>2</v>
      </c>
      <c r="K457" s="7" t="str">
        <f t="shared" si="4"/>
        <v>D251</v>
      </c>
      <c r="L457" s="8"/>
      <c r="M457" s="9" t="str">
        <f t="shared" si="5"/>
        <v>INP1633</v>
      </c>
      <c r="N457" s="9">
        <f t="shared" si="6"/>
        <v>7</v>
      </c>
      <c r="O457" s="9" t="str">
        <f t="shared" si="7"/>
        <v>P/1INP1633</v>
      </c>
    </row>
    <row r="458" spans="1:15" ht="17.5" x14ac:dyDescent="0.55000000000000004">
      <c r="A458" s="12" t="s">
        <v>633</v>
      </c>
      <c r="B458" s="6" t="s">
        <v>13</v>
      </c>
      <c r="C458" s="6" t="s">
        <v>49</v>
      </c>
      <c r="D458" s="12" t="s">
        <v>640</v>
      </c>
      <c r="E458" s="6" t="s">
        <v>50</v>
      </c>
      <c r="F458" s="6" t="s">
        <v>641</v>
      </c>
      <c r="G458" s="6" t="s">
        <v>17</v>
      </c>
      <c r="H458" s="6">
        <v>0</v>
      </c>
      <c r="I458" s="6" t="s">
        <v>636</v>
      </c>
      <c r="J458" s="6">
        <v>2</v>
      </c>
      <c r="K458" s="7" t="str">
        <f t="shared" si="4"/>
        <v>D251</v>
      </c>
      <c r="L458" s="8"/>
      <c r="M458" s="9" t="str">
        <f t="shared" si="5"/>
        <v>INP1642</v>
      </c>
      <c r="N458" s="9">
        <f t="shared" si="6"/>
        <v>7</v>
      </c>
      <c r="O458" s="9" t="str">
        <f t="shared" si="7"/>
        <v>P/1INP1642</v>
      </c>
    </row>
    <row r="459" spans="1:15" ht="17.5" x14ac:dyDescent="0.55000000000000004">
      <c r="A459" s="13" t="s">
        <v>633</v>
      </c>
      <c r="B459" s="11" t="s">
        <v>31</v>
      </c>
      <c r="C459" s="11" t="s">
        <v>642</v>
      </c>
      <c r="D459" s="13" t="s">
        <v>643</v>
      </c>
      <c r="E459" s="11" t="s">
        <v>16</v>
      </c>
      <c r="F459" s="11" t="s">
        <v>644</v>
      </c>
      <c r="G459" s="11" t="s">
        <v>17</v>
      </c>
      <c r="H459" s="11">
        <v>0</v>
      </c>
      <c r="I459" s="11" t="s">
        <v>636</v>
      </c>
      <c r="J459" s="11">
        <v>2</v>
      </c>
      <c r="K459" s="7" t="str">
        <f t="shared" si="4"/>
        <v>D251</v>
      </c>
      <c r="L459" s="8"/>
      <c r="M459" s="9" t="str">
        <f t="shared" si="5"/>
        <v>INP1592</v>
      </c>
      <c r="N459" s="9">
        <f t="shared" si="6"/>
        <v>7</v>
      </c>
      <c r="O459" s="9" t="str">
        <f t="shared" si="7"/>
        <v>K/1INP1592</v>
      </c>
    </row>
    <row r="460" spans="1:15" ht="17.5" x14ac:dyDescent="0.55000000000000004">
      <c r="A460" s="12" t="s">
        <v>633</v>
      </c>
      <c r="B460" s="6" t="s">
        <v>31</v>
      </c>
      <c r="C460" s="6" t="s">
        <v>49</v>
      </c>
      <c r="D460" s="12" t="s">
        <v>643</v>
      </c>
      <c r="E460" s="6" t="s">
        <v>50</v>
      </c>
      <c r="F460" s="6" t="s">
        <v>644</v>
      </c>
      <c r="G460" s="6" t="s">
        <v>17</v>
      </c>
      <c r="H460" s="6">
        <v>0</v>
      </c>
      <c r="I460" s="6" t="s">
        <v>636</v>
      </c>
      <c r="J460" s="6">
        <v>2</v>
      </c>
      <c r="K460" s="7" t="str">
        <f t="shared" si="4"/>
        <v>D251</v>
      </c>
      <c r="L460" s="8"/>
      <c r="M460" s="9" t="str">
        <f t="shared" si="5"/>
        <v>INP1592</v>
      </c>
      <c r="N460" s="9">
        <f t="shared" si="6"/>
        <v>7</v>
      </c>
      <c r="O460" s="9" t="str">
        <f t="shared" si="7"/>
        <v>P/1INP1592</v>
      </c>
    </row>
    <row r="461" spans="1:15" ht="17.5" x14ac:dyDescent="0.55000000000000004">
      <c r="A461" s="13" t="s">
        <v>633</v>
      </c>
      <c r="B461" s="11" t="s">
        <v>41</v>
      </c>
      <c r="C461" s="11" t="s">
        <v>14</v>
      </c>
      <c r="D461" s="13" t="s">
        <v>645</v>
      </c>
      <c r="E461" s="11" t="s">
        <v>16</v>
      </c>
      <c r="F461" s="11" t="s">
        <v>646</v>
      </c>
      <c r="G461" s="11" t="s">
        <v>17</v>
      </c>
      <c r="H461" s="11">
        <v>0</v>
      </c>
      <c r="I461" s="11" t="s">
        <v>636</v>
      </c>
      <c r="J461" s="11">
        <v>2</v>
      </c>
      <c r="K461" s="7" t="str">
        <f t="shared" si="4"/>
        <v>D251</v>
      </c>
      <c r="L461" s="8"/>
      <c r="M461" s="9" t="str">
        <f t="shared" si="5"/>
        <v>INP1612</v>
      </c>
      <c r="N461" s="9">
        <f t="shared" si="6"/>
        <v>7</v>
      </c>
      <c r="O461" s="9" t="str">
        <f t="shared" si="7"/>
        <v>K/1INP1612</v>
      </c>
    </row>
    <row r="462" spans="1:15" ht="17.5" x14ac:dyDescent="0.55000000000000004">
      <c r="A462" s="12" t="s">
        <v>633</v>
      </c>
      <c r="B462" s="6" t="s">
        <v>41</v>
      </c>
      <c r="C462" s="6" t="s">
        <v>14</v>
      </c>
      <c r="D462" s="12" t="s">
        <v>647</v>
      </c>
      <c r="E462" s="6" t="s">
        <v>16</v>
      </c>
      <c r="F462" s="6" t="s">
        <v>648</v>
      </c>
      <c r="G462" s="6" t="s">
        <v>17</v>
      </c>
      <c r="H462" s="6">
        <v>0</v>
      </c>
      <c r="I462" s="6" t="s">
        <v>636</v>
      </c>
      <c r="J462" s="6">
        <v>2</v>
      </c>
      <c r="K462" s="7" t="str">
        <f t="shared" si="4"/>
        <v>D251</v>
      </c>
      <c r="L462" s="8"/>
      <c r="M462" s="9" t="str">
        <f t="shared" si="5"/>
        <v>INP1632</v>
      </c>
      <c r="N462" s="9">
        <f t="shared" si="6"/>
        <v>7</v>
      </c>
      <c r="O462" s="9" t="str">
        <f t="shared" si="7"/>
        <v>K/1INP1632</v>
      </c>
    </row>
    <row r="463" spans="1:15" ht="17.5" x14ac:dyDescent="0.55000000000000004">
      <c r="A463" s="13" t="s">
        <v>633</v>
      </c>
      <c r="B463" s="11" t="s">
        <v>41</v>
      </c>
      <c r="C463" s="11" t="s">
        <v>14</v>
      </c>
      <c r="D463" s="13" t="s">
        <v>649</v>
      </c>
      <c r="E463" s="11" t="s">
        <v>16</v>
      </c>
      <c r="F463" s="11" t="s">
        <v>650</v>
      </c>
      <c r="G463" s="11" t="s">
        <v>17</v>
      </c>
      <c r="H463" s="11">
        <v>0</v>
      </c>
      <c r="I463" s="11" t="s">
        <v>636</v>
      </c>
      <c r="J463" s="11">
        <v>2</v>
      </c>
      <c r="K463" s="7" t="str">
        <f t="shared" si="4"/>
        <v>D251</v>
      </c>
      <c r="L463" s="8"/>
      <c r="M463" s="9" t="str">
        <f t="shared" si="5"/>
        <v>INP1652</v>
      </c>
      <c r="N463" s="9">
        <f t="shared" si="6"/>
        <v>7</v>
      </c>
      <c r="O463" s="9" t="str">
        <f t="shared" si="7"/>
        <v>K/1INP1652</v>
      </c>
    </row>
    <row r="464" spans="1:15" ht="17.5" x14ac:dyDescent="0.55000000000000004">
      <c r="A464" s="12" t="s">
        <v>633</v>
      </c>
      <c r="B464" s="6" t="s">
        <v>41</v>
      </c>
      <c r="C464" s="6" t="s">
        <v>14</v>
      </c>
      <c r="D464" s="12" t="s">
        <v>651</v>
      </c>
      <c r="E464" s="6" t="s">
        <v>16</v>
      </c>
      <c r="F464" s="6" t="s">
        <v>652</v>
      </c>
      <c r="G464" s="6" t="s">
        <v>17</v>
      </c>
      <c r="H464" s="6">
        <v>0</v>
      </c>
      <c r="I464" s="6" t="s">
        <v>636</v>
      </c>
      <c r="J464" s="6">
        <v>2</v>
      </c>
      <c r="K464" s="7" t="str">
        <f t="shared" si="4"/>
        <v>D251</v>
      </c>
      <c r="L464" s="8"/>
      <c r="M464" s="9" t="str">
        <f t="shared" si="5"/>
        <v>INP1662</v>
      </c>
      <c r="N464" s="9">
        <f t="shared" si="6"/>
        <v>7</v>
      </c>
      <c r="O464" s="9" t="str">
        <f t="shared" si="7"/>
        <v>K/1INP1662</v>
      </c>
    </row>
    <row r="465" spans="1:15" ht="17.5" x14ac:dyDescent="0.55000000000000004">
      <c r="A465" s="13" t="s">
        <v>633</v>
      </c>
      <c r="B465" s="11" t="s">
        <v>41</v>
      </c>
      <c r="C465" s="11" t="s">
        <v>49</v>
      </c>
      <c r="D465" s="13" t="s">
        <v>645</v>
      </c>
      <c r="E465" s="11" t="s">
        <v>50</v>
      </c>
      <c r="F465" s="11" t="s">
        <v>646</v>
      </c>
      <c r="G465" s="11" t="s">
        <v>17</v>
      </c>
      <c r="H465" s="11">
        <v>0</v>
      </c>
      <c r="I465" s="11" t="s">
        <v>636</v>
      </c>
      <c r="J465" s="11">
        <v>2</v>
      </c>
      <c r="K465" s="7" t="str">
        <f t="shared" si="4"/>
        <v>D251</v>
      </c>
      <c r="L465" s="8"/>
      <c r="M465" s="9" t="str">
        <f t="shared" si="5"/>
        <v>INP1612</v>
      </c>
      <c r="N465" s="9">
        <f t="shared" si="6"/>
        <v>7</v>
      </c>
      <c r="O465" s="9" t="str">
        <f t="shared" si="7"/>
        <v>P/1INP1612</v>
      </c>
    </row>
    <row r="466" spans="1:15" ht="17.5" x14ac:dyDescent="0.55000000000000004">
      <c r="A466" s="12" t="s">
        <v>633</v>
      </c>
      <c r="B466" s="6" t="s">
        <v>41</v>
      </c>
      <c r="C466" s="6" t="s">
        <v>49</v>
      </c>
      <c r="D466" s="12" t="s">
        <v>647</v>
      </c>
      <c r="E466" s="6" t="s">
        <v>50</v>
      </c>
      <c r="F466" s="6" t="s">
        <v>648</v>
      </c>
      <c r="G466" s="6" t="s">
        <v>17</v>
      </c>
      <c r="H466" s="6">
        <v>0</v>
      </c>
      <c r="I466" s="6" t="s">
        <v>636</v>
      </c>
      <c r="J466" s="6">
        <v>2</v>
      </c>
      <c r="K466" s="7" t="str">
        <f t="shared" si="4"/>
        <v>D251</v>
      </c>
      <c r="L466" s="8"/>
      <c r="M466" s="9" t="str">
        <f t="shared" si="5"/>
        <v>INP1632</v>
      </c>
      <c r="N466" s="9">
        <f t="shared" si="6"/>
        <v>7</v>
      </c>
      <c r="O466" s="9" t="str">
        <f t="shared" si="7"/>
        <v>P/1INP1632</v>
      </c>
    </row>
    <row r="467" spans="1:15" ht="17.5" x14ac:dyDescent="0.55000000000000004">
      <c r="A467" s="13" t="s">
        <v>633</v>
      </c>
      <c r="B467" s="11" t="s">
        <v>41</v>
      </c>
      <c r="C467" s="11" t="s">
        <v>49</v>
      </c>
      <c r="D467" s="13" t="s">
        <v>649</v>
      </c>
      <c r="E467" s="11" t="s">
        <v>50</v>
      </c>
      <c r="F467" s="11" t="s">
        <v>650</v>
      </c>
      <c r="G467" s="11" t="s">
        <v>17</v>
      </c>
      <c r="H467" s="11">
        <v>0</v>
      </c>
      <c r="I467" s="11" t="s">
        <v>636</v>
      </c>
      <c r="J467" s="11">
        <v>2</v>
      </c>
      <c r="K467" s="7" t="str">
        <f t="shared" si="4"/>
        <v>D251</v>
      </c>
      <c r="L467" s="8"/>
      <c r="M467" s="9" t="str">
        <f t="shared" si="5"/>
        <v>INP1652</v>
      </c>
      <c r="N467" s="9">
        <f t="shared" si="6"/>
        <v>7</v>
      </c>
      <c r="O467" s="9" t="str">
        <f t="shared" si="7"/>
        <v>P/1INP1652</v>
      </c>
    </row>
    <row r="468" spans="1:15" ht="17.5" x14ac:dyDescent="0.55000000000000004">
      <c r="A468" s="12" t="s">
        <v>633</v>
      </c>
      <c r="B468" s="6" t="s">
        <v>47</v>
      </c>
      <c r="C468" s="6" t="s">
        <v>653</v>
      </c>
      <c r="D468" s="12" t="s">
        <v>654</v>
      </c>
      <c r="E468" s="6" t="s">
        <v>16</v>
      </c>
      <c r="F468" s="6" t="s">
        <v>655</v>
      </c>
      <c r="G468" s="6" t="s">
        <v>17</v>
      </c>
      <c r="H468" s="6">
        <v>0</v>
      </c>
      <c r="I468" s="6" t="s">
        <v>636</v>
      </c>
      <c r="J468" s="6">
        <v>2</v>
      </c>
      <c r="K468" s="7" t="str">
        <f t="shared" si="4"/>
        <v>D251</v>
      </c>
      <c r="L468" s="8"/>
      <c r="M468" s="9" t="str">
        <f t="shared" si="5"/>
        <v>INP1693</v>
      </c>
      <c r="N468" s="9">
        <f t="shared" si="6"/>
        <v>7</v>
      </c>
      <c r="O468" s="9" t="str">
        <f t="shared" si="7"/>
        <v>K/1INP1693</v>
      </c>
    </row>
    <row r="469" spans="1:15" ht="17.5" x14ac:dyDescent="0.55000000000000004">
      <c r="A469" s="13" t="s">
        <v>633</v>
      </c>
      <c r="B469" s="11" t="s">
        <v>47</v>
      </c>
      <c r="C469" s="11" t="s">
        <v>14</v>
      </c>
      <c r="D469" s="13" t="s">
        <v>656</v>
      </c>
      <c r="E469" s="11" t="s">
        <v>16</v>
      </c>
      <c r="F469" s="11" t="s">
        <v>657</v>
      </c>
      <c r="G469" s="11" t="s">
        <v>17</v>
      </c>
      <c r="H469" s="11">
        <v>0</v>
      </c>
      <c r="I469" s="11" t="s">
        <v>636</v>
      </c>
      <c r="J469" s="11">
        <v>2</v>
      </c>
      <c r="K469" s="7" t="str">
        <f t="shared" si="4"/>
        <v>D251</v>
      </c>
      <c r="L469" s="8"/>
      <c r="M469" s="9" t="str">
        <f t="shared" si="5"/>
        <v>INP1613</v>
      </c>
      <c r="N469" s="9">
        <f t="shared" si="6"/>
        <v>7</v>
      </c>
      <c r="O469" s="9" t="str">
        <f t="shared" si="7"/>
        <v>K/1INP1613</v>
      </c>
    </row>
    <row r="470" spans="1:15" ht="17.5" x14ac:dyDescent="0.55000000000000004">
      <c r="A470" s="12" t="s">
        <v>633</v>
      </c>
      <c r="B470" s="6" t="s">
        <v>47</v>
      </c>
      <c r="C470" s="6" t="s">
        <v>14</v>
      </c>
      <c r="D470" s="12" t="s">
        <v>658</v>
      </c>
      <c r="E470" s="6" t="s">
        <v>16</v>
      </c>
      <c r="F470" s="6" t="s">
        <v>659</v>
      </c>
      <c r="G470" s="6" t="s">
        <v>17</v>
      </c>
      <c r="H470" s="6">
        <v>0</v>
      </c>
      <c r="I470" s="6" t="s">
        <v>636</v>
      </c>
      <c r="J470" s="6">
        <v>2</v>
      </c>
      <c r="K470" s="7" t="str">
        <f t="shared" si="4"/>
        <v>D251</v>
      </c>
      <c r="L470" s="8"/>
      <c r="M470" s="9" t="str">
        <f t="shared" si="5"/>
        <v>INP1623</v>
      </c>
      <c r="N470" s="9">
        <f t="shared" si="6"/>
        <v>7</v>
      </c>
      <c r="O470" s="9" t="str">
        <f t="shared" si="7"/>
        <v>K/1INP1623</v>
      </c>
    </row>
    <row r="471" spans="1:15" ht="17.5" x14ac:dyDescent="0.55000000000000004">
      <c r="A471" s="13" t="s">
        <v>633</v>
      </c>
      <c r="B471" s="11" t="s">
        <v>47</v>
      </c>
      <c r="C471" s="11" t="s">
        <v>14</v>
      </c>
      <c r="D471" s="13" t="s">
        <v>660</v>
      </c>
      <c r="E471" s="11" t="s">
        <v>16</v>
      </c>
      <c r="F471" s="11" t="s">
        <v>661</v>
      </c>
      <c r="G471" s="11" t="s">
        <v>17</v>
      </c>
      <c r="H471" s="11">
        <v>0</v>
      </c>
      <c r="I471" s="11" t="s">
        <v>636</v>
      </c>
      <c r="J471" s="11">
        <v>2</v>
      </c>
      <c r="K471" s="7" t="str">
        <f t="shared" si="4"/>
        <v>D251</v>
      </c>
      <c r="L471" s="8"/>
      <c r="M471" s="9" t="str">
        <f t="shared" si="5"/>
        <v>INP1663</v>
      </c>
      <c r="N471" s="9">
        <f t="shared" si="6"/>
        <v>7</v>
      </c>
      <c r="O471" s="9" t="str">
        <f t="shared" si="7"/>
        <v>K/1INP1663</v>
      </c>
    </row>
    <row r="472" spans="1:15" ht="17.5" x14ac:dyDescent="0.55000000000000004">
      <c r="A472" s="12" t="s">
        <v>633</v>
      </c>
      <c r="B472" s="6" t="s">
        <v>47</v>
      </c>
      <c r="C472" s="6" t="s">
        <v>49</v>
      </c>
      <c r="D472" s="12" t="s">
        <v>656</v>
      </c>
      <c r="E472" s="6" t="s">
        <v>50</v>
      </c>
      <c r="F472" s="6" t="s">
        <v>657</v>
      </c>
      <c r="G472" s="6" t="s">
        <v>17</v>
      </c>
      <c r="H472" s="6">
        <v>0</v>
      </c>
      <c r="I472" s="6" t="s">
        <v>636</v>
      </c>
      <c r="J472" s="6">
        <v>2</v>
      </c>
      <c r="K472" s="7" t="str">
        <f t="shared" si="4"/>
        <v>D251</v>
      </c>
      <c r="L472" s="8"/>
      <c r="M472" s="9" t="str">
        <f t="shared" si="5"/>
        <v>INP1613</v>
      </c>
      <c r="N472" s="9">
        <f t="shared" si="6"/>
        <v>7</v>
      </c>
      <c r="O472" s="9" t="str">
        <f t="shared" si="7"/>
        <v>P/1INP1613</v>
      </c>
    </row>
    <row r="473" spans="1:15" ht="17.5" x14ac:dyDescent="0.55000000000000004">
      <c r="A473" s="13" t="s">
        <v>633</v>
      </c>
      <c r="B473" s="11" t="s">
        <v>47</v>
      </c>
      <c r="C473" s="11" t="s">
        <v>49</v>
      </c>
      <c r="D473" s="13" t="s">
        <v>658</v>
      </c>
      <c r="E473" s="11" t="s">
        <v>50</v>
      </c>
      <c r="F473" s="11" t="s">
        <v>659</v>
      </c>
      <c r="G473" s="11" t="s">
        <v>17</v>
      </c>
      <c r="H473" s="11">
        <v>0</v>
      </c>
      <c r="I473" s="11" t="s">
        <v>636</v>
      </c>
      <c r="J473" s="11">
        <v>2</v>
      </c>
      <c r="K473" s="7" t="str">
        <f t="shared" si="4"/>
        <v>D251</v>
      </c>
      <c r="L473" s="8"/>
      <c r="M473" s="9" t="str">
        <f t="shared" si="5"/>
        <v>INP1623</v>
      </c>
      <c r="N473" s="9">
        <f t="shared" si="6"/>
        <v>7</v>
      </c>
      <c r="O473" s="9" t="str">
        <f t="shared" si="7"/>
        <v>P/1INP1623</v>
      </c>
    </row>
    <row r="474" spans="1:15" ht="17.5" x14ac:dyDescent="0.55000000000000004">
      <c r="A474" s="12" t="s">
        <v>633</v>
      </c>
      <c r="B474" s="6" t="s">
        <v>47</v>
      </c>
      <c r="C474" s="6" t="s">
        <v>49</v>
      </c>
      <c r="D474" s="12" t="s">
        <v>660</v>
      </c>
      <c r="E474" s="6" t="s">
        <v>50</v>
      </c>
      <c r="F474" s="6" t="s">
        <v>661</v>
      </c>
      <c r="G474" s="6" t="s">
        <v>17</v>
      </c>
      <c r="H474" s="6">
        <v>0</v>
      </c>
      <c r="I474" s="6" t="s">
        <v>636</v>
      </c>
      <c r="J474" s="6">
        <v>2</v>
      </c>
      <c r="K474" s="7" t="str">
        <f t="shared" si="4"/>
        <v>D251</v>
      </c>
      <c r="L474" s="8"/>
      <c r="M474" s="9" t="str">
        <f t="shared" si="5"/>
        <v>INP1663</v>
      </c>
      <c r="N474" s="9">
        <f t="shared" si="6"/>
        <v>7</v>
      </c>
      <c r="O474" s="9" t="str">
        <f t="shared" si="7"/>
        <v>P/1INP1663</v>
      </c>
    </row>
    <row r="475" spans="1:15" ht="17.5" x14ac:dyDescent="0.55000000000000004">
      <c r="A475" s="13" t="s">
        <v>633</v>
      </c>
      <c r="B475" s="11" t="s">
        <v>52</v>
      </c>
      <c r="C475" s="11" t="s">
        <v>14</v>
      </c>
      <c r="D475" s="13" t="s">
        <v>662</v>
      </c>
      <c r="E475" s="11" t="s">
        <v>16</v>
      </c>
      <c r="F475" s="11" t="s">
        <v>655</v>
      </c>
      <c r="G475" s="11" t="s">
        <v>17</v>
      </c>
      <c r="H475" s="11">
        <v>0</v>
      </c>
      <c r="I475" s="11" t="s">
        <v>636</v>
      </c>
      <c r="J475" s="11">
        <v>2</v>
      </c>
      <c r="K475" s="7" t="str">
        <f t="shared" si="4"/>
        <v>D251</v>
      </c>
      <c r="L475" s="8"/>
      <c r="M475" s="9" t="str">
        <f t="shared" si="5"/>
        <v>INP1643</v>
      </c>
      <c r="N475" s="9">
        <f t="shared" si="6"/>
        <v>7</v>
      </c>
      <c r="O475" s="9" t="str">
        <f t="shared" si="7"/>
        <v>K/1INP1643</v>
      </c>
    </row>
    <row r="476" spans="1:15" ht="17.5" x14ac:dyDescent="0.55000000000000004">
      <c r="A476" s="12" t="s">
        <v>633</v>
      </c>
      <c r="B476" s="6" t="s">
        <v>52</v>
      </c>
      <c r="C476" s="6" t="s">
        <v>49</v>
      </c>
      <c r="D476" s="12" t="s">
        <v>662</v>
      </c>
      <c r="E476" s="6" t="s">
        <v>50</v>
      </c>
      <c r="F476" s="6" t="s">
        <v>655</v>
      </c>
      <c r="G476" s="6" t="s">
        <v>17</v>
      </c>
      <c r="H476" s="6">
        <v>0</v>
      </c>
      <c r="I476" s="6" t="s">
        <v>636</v>
      </c>
      <c r="J476" s="6">
        <v>2</v>
      </c>
      <c r="K476" s="7" t="str">
        <f t="shared" si="4"/>
        <v>D251</v>
      </c>
      <c r="L476" s="8"/>
      <c r="M476" s="9" t="str">
        <f t="shared" si="5"/>
        <v>INP1643</v>
      </c>
      <c r="N476" s="9">
        <f t="shared" si="6"/>
        <v>7</v>
      </c>
      <c r="O476" s="9" t="str">
        <f t="shared" si="7"/>
        <v>P/1INP1643</v>
      </c>
    </row>
    <row r="477" spans="1:15" ht="17.5" x14ac:dyDescent="0.55000000000000004">
      <c r="A477" s="13" t="s">
        <v>633</v>
      </c>
      <c r="B477" s="11" t="s">
        <v>52</v>
      </c>
      <c r="C477" s="11" t="s">
        <v>90</v>
      </c>
      <c r="D477" s="13" t="s">
        <v>651</v>
      </c>
      <c r="E477" s="11" t="s">
        <v>50</v>
      </c>
      <c r="F477" s="11" t="s">
        <v>652</v>
      </c>
      <c r="G477" s="11" t="s">
        <v>17</v>
      </c>
      <c r="H477" s="11">
        <v>0</v>
      </c>
      <c r="I477" s="11" t="s">
        <v>636</v>
      </c>
      <c r="J477" s="11">
        <v>2</v>
      </c>
      <c r="K477" s="7" t="str">
        <f t="shared" si="4"/>
        <v>D251</v>
      </c>
      <c r="L477" s="8"/>
      <c r="M477" s="9" t="str">
        <f t="shared" si="5"/>
        <v>INP1662</v>
      </c>
      <c r="N477" s="9">
        <f t="shared" si="6"/>
        <v>7</v>
      </c>
      <c r="O477" s="9" t="str">
        <f t="shared" si="7"/>
        <v>P/1INP1662</v>
      </c>
    </row>
    <row r="478" spans="1:15" ht="17.5" x14ac:dyDescent="0.55000000000000004">
      <c r="A478" s="12" t="s">
        <v>663</v>
      </c>
      <c r="B478" s="6" t="s">
        <v>13</v>
      </c>
      <c r="C478" s="6" t="s">
        <v>14</v>
      </c>
      <c r="D478" s="12" t="s">
        <v>664</v>
      </c>
      <c r="E478" s="6" t="s">
        <v>16</v>
      </c>
      <c r="F478" s="6" t="s">
        <v>665</v>
      </c>
      <c r="G478" s="6" t="s">
        <v>17</v>
      </c>
      <c r="H478" s="6">
        <v>0</v>
      </c>
      <c r="I478" s="6" t="s">
        <v>666</v>
      </c>
      <c r="J478" s="6">
        <v>2</v>
      </c>
      <c r="K478" s="7" t="str">
        <f t="shared" si="4"/>
        <v>E251</v>
      </c>
      <c r="L478" s="8"/>
      <c r="M478" s="9" t="str">
        <f t="shared" si="5"/>
        <v>THH1501</v>
      </c>
      <c r="N478" s="9">
        <f t="shared" si="6"/>
        <v>7</v>
      </c>
      <c r="O478" s="9" t="str">
        <f t="shared" si="7"/>
        <v>K/1THH1501</v>
      </c>
    </row>
    <row r="479" spans="1:15" ht="17.5" x14ac:dyDescent="0.55000000000000004">
      <c r="A479" s="13" t="s">
        <v>663</v>
      </c>
      <c r="B479" s="11" t="s">
        <v>13</v>
      </c>
      <c r="C479" s="11" t="s">
        <v>14</v>
      </c>
      <c r="D479" s="13" t="s">
        <v>667</v>
      </c>
      <c r="E479" s="11" t="s">
        <v>16</v>
      </c>
      <c r="F479" s="11" t="s">
        <v>668</v>
      </c>
      <c r="G479" s="11" t="s">
        <v>17</v>
      </c>
      <c r="H479" s="11">
        <v>0</v>
      </c>
      <c r="I479" s="11" t="s">
        <v>669</v>
      </c>
      <c r="J479" s="11">
        <v>2</v>
      </c>
      <c r="K479" s="7" t="str">
        <f t="shared" si="4"/>
        <v>E251</v>
      </c>
      <c r="L479" s="8"/>
      <c r="M479" s="9" t="str">
        <f t="shared" si="5"/>
        <v>THH1616</v>
      </c>
      <c r="N479" s="9">
        <f t="shared" si="6"/>
        <v>7</v>
      </c>
      <c r="O479" s="9" t="str">
        <f t="shared" si="7"/>
        <v>K/1THH1616</v>
      </c>
    </row>
    <row r="480" spans="1:15" ht="17.5" x14ac:dyDescent="0.55000000000000004">
      <c r="A480" s="12" t="s">
        <v>663</v>
      </c>
      <c r="B480" s="6" t="s">
        <v>13</v>
      </c>
      <c r="C480" s="6" t="s">
        <v>25</v>
      </c>
      <c r="D480" s="12" t="s">
        <v>670</v>
      </c>
      <c r="E480" s="6" t="s">
        <v>16</v>
      </c>
      <c r="F480" s="6" t="s">
        <v>671</v>
      </c>
      <c r="G480" s="6" t="s">
        <v>17</v>
      </c>
      <c r="H480" s="6">
        <v>0</v>
      </c>
      <c r="I480" s="6" t="s">
        <v>666</v>
      </c>
      <c r="J480" s="6">
        <v>2</v>
      </c>
      <c r="K480" s="7" t="str">
        <f t="shared" si="4"/>
        <v>E251</v>
      </c>
      <c r="L480" s="8"/>
      <c r="M480" s="9" t="str">
        <f t="shared" si="5"/>
        <v>THH1531</v>
      </c>
      <c r="N480" s="9">
        <f t="shared" si="6"/>
        <v>7</v>
      </c>
      <c r="O480" s="9" t="str">
        <f t="shared" si="7"/>
        <v>K/1THH1531</v>
      </c>
    </row>
    <row r="481" spans="1:15" ht="17.5" x14ac:dyDescent="0.55000000000000004">
      <c r="A481" s="13" t="s">
        <v>663</v>
      </c>
      <c r="B481" s="11" t="s">
        <v>13</v>
      </c>
      <c r="C481" s="11" t="s">
        <v>25</v>
      </c>
      <c r="D481" s="13" t="s">
        <v>672</v>
      </c>
      <c r="E481" s="11" t="s">
        <v>16</v>
      </c>
      <c r="F481" s="11" t="s">
        <v>673</v>
      </c>
      <c r="G481" s="11" t="s">
        <v>17</v>
      </c>
      <c r="H481" s="11">
        <v>0</v>
      </c>
      <c r="I481" s="11" t="s">
        <v>669</v>
      </c>
      <c r="J481" s="11">
        <v>2</v>
      </c>
      <c r="K481" s="7" t="str">
        <f t="shared" si="4"/>
        <v>E251</v>
      </c>
      <c r="L481" s="8"/>
      <c r="M481" s="9" t="str">
        <f t="shared" si="5"/>
        <v>THH1633</v>
      </c>
      <c r="N481" s="9">
        <f t="shared" si="6"/>
        <v>7</v>
      </c>
      <c r="O481" s="9" t="str">
        <f t="shared" si="7"/>
        <v>K/1THH1633</v>
      </c>
    </row>
    <row r="482" spans="1:15" ht="17.5" x14ac:dyDescent="0.55000000000000004">
      <c r="A482" s="12" t="s">
        <v>663</v>
      </c>
      <c r="B482" s="6" t="s">
        <v>13</v>
      </c>
      <c r="C482" s="6" t="s">
        <v>64</v>
      </c>
      <c r="D482" s="12" t="s">
        <v>674</v>
      </c>
      <c r="E482" s="6" t="s">
        <v>16</v>
      </c>
      <c r="F482" s="6" t="s">
        <v>675</v>
      </c>
      <c r="G482" s="6" t="s">
        <v>17</v>
      </c>
      <c r="H482" s="6">
        <v>0</v>
      </c>
      <c r="I482" s="6" t="s">
        <v>669</v>
      </c>
      <c r="J482" s="6">
        <v>2</v>
      </c>
      <c r="K482" s="7" t="str">
        <f t="shared" si="4"/>
        <v>E251</v>
      </c>
      <c r="L482" s="8"/>
      <c r="M482" s="9" t="str">
        <f t="shared" si="5"/>
        <v>THH1601</v>
      </c>
      <c r="N482" s="9">
        <f t="shared" si="6"/>
        <v>7</v>
      </c>
      <c r="O482" s="9" t="str">
        <f t="shared" si="7"/>
        <v>K/1THH1601</v>
      </c>
    </row>
    <row r="483" spans="1:15" ht="17.5" x14ac:dyDescent="0.55000000000000004">
      <c r="A483" s="13" t="s">
        <v>663</v>
      </c>
      <c r="B483" s="11" t="s">
        <v>31</v>
      </c>
      <c r="C483" s="11" t="s">
        <v>14</v>
      </c>
      <c r="D483" s="13" t="s">
        <v>676</v>
      </c>
      <c r="E483" s="11" t="s">
        <v>16</v>
      </c>
      <c r="F483" s="11" t="s">
        <v>677</v>
      </c>
      <c r="G483" s="11" t="s">
        <v>17</v>
      </c>
      <c r="H483" s="11">
        <v>0</v>
      </c>
      <c r="I483" s="11" t="s">
        <v>669</v>
      </c>
      <c r="J483" s="11">
        <v>2</v>
      </c>
      <c r="K483" s="7" t="str">
        <f t="shared" si="4"/>
        <v>E251</v>
      </c>
      <c r="L483" s="8"/>
      <c r="M483" s="9" t="str">
        <f t="shared" si="5"/>
        <v>THH1624</v>
      </c>
      <c r="N483" s="9">
        <f t="shared" si="6"/>
        <v>7</v>
      </c>
      <c r="O483" s="9" t="str">
        <f t="shared" si="7"/>
        <v>K/1THH1624</v>
      </c>
    </row>
    <row r="484" spans="1:15" ht="17.5" x14ac:dyDescent="0.55000000000000004">
      <c r="A484" s="12" t="s">
        <v>663</v>
      </c>
      <c r="B484" s="6" t="s">
        <v>31</v>
      </c>
      <c r="C484" s="6" t="s">
        <v>426</v>
      </c>
      <c r="D484" s="12" t="s">
        <v>670</v>
      </c>
      <c r="E484" s="6" t="s">
        <v>50</v>
      </c>
      <c r="F484" s="6" t="s">
        <v>671</v>
      </c>
      <c r="G484" s="6" t="s">
        <v>17</v>
      </c>
      <c r="H484" s="6">
        <v>0</v>
      </c>
      <c r="I484" s="6" t="s">
        <v>666</v>
      </c>
      <c r="J484" s="6">
        <v>2</v>
      </c>
      <c r="K484" s="7" t="str">
        <f t="shared" si="4"/>
        <v>E251</v>
      </c>
      <c r="L484" s="8"/>
      <c r="M484" s="9" t="str">
        <f t="shared" si="5"/>
        <v>THH1531</v>
      </c>
      <c r="N484" s="9">
        <f t="shared" si="6"/>
        <v>7</v>
      </c>
      <c r="O484" s="9" t="str">
        <f t="shared" si="7"/>
        <v>P/1THH1531</v>
      </c>
    </row>
    <row r="485" spans="1:15" ht="17.5" x14ac:dyDescent="0.55000000000000004">
      <c r="A485" s="13" t="s">
        <v>663</v>
      </c>
      <c r="B485" s="11" t="s">
        <v>31</v>
      </c>
      <c r="C485" s="11" t="s">
        <v>25</v>
      </c>
      <c r="D485" s="13" t="s">
        <v>678</v>
      </c>
      <c r="E485" s="11" t="s">
        <v>16</v>
      </c>
      <c r="F485" s="11" t="s">
        <v>668</v>
      </c>
      <c r="G485" s="11" t="s">
        <v>17</v>
      </c>
      <c r="H485" s="11">
        <v>0</v>
      </c>
      <c r="I485" s="11" t="s">
        <v>666</v>
      </c>
      <c r="J485" s="11">
        <v>2</v>
      </c>
      <c r="K485" s="7" t="str">
        <f t="shared" si="4"/>
        <v>E251</v>
      </c>
      <c r="L485" s="8"/>
      <c r="M485" s="9" t="str">
        <f t="shared" si="5"/>
        <v>THH1502</v>
      </c>
      <c r="N485" s="9">
        <f t="shared" si="6"/>
        <v>7</v>
      </c>
      <c r="O485" s="9" t="str">
        <f t="shared" si="7"/>
        <v>K/1THH1502</v>
      </c>
    </row>
    <row r="486" spans="1:15" ht="17.5" x14ac:dyDescent="0.55000000000000004">
      <c r="A486" s="12" t="s">
        <v>663</v>
      </c>
      <c r="B486" s="6" t="s">
        <v>31</v>
      </c>
      <c r="C486" s="6" t="s">
        <v>25</v>
      </c>
      <c r="D486" s="12" t="s">
        <v>679</v>
      </c>
      <c r="E486" s="6" t="s">
        <v>16</v>
      </c>
      <c r="F486" s="6" t="s">
        <v>680</v>
      </c>
      <c r="G486" s="6" t="s">
        <v>17</v>
      </c>
      <c r="H486" s="6">
        <v>0</v>
      </c>
      <c r="I486" s="6" t="s">
        <v>669</v>
      </c>
      <c r="J486" s="6">
        <v>2</v>
      </c>
      <c r="K486" s="7" t="str">
        <f t="shared" si="4"/>
        <v>E251</v>
      </c>
      <c r="L486" s="8"/>
      <c r="M486" s="9" t="str">
        <f t="shared" si="5"/>
        <v>THH1643</v>
      </c>
      <c r="N486" s="9">
        <f t="shared" si="6"/>
        <v>7</v>
      </c>
      <c r="O486" s="9" t="str">
        <f t="shared" si="7"/>
        <v>K/1THH1643</v>
      </c>
    </row>
    <row r="487" spans="1:15" ht="17.5" x14ac:dyDescent="0.55000000000000004">
      <c r="A487" s="13" t="s">
        <v>663</v>
      </c>
      <c r="B487" s="11" t="s">
        <v>31</v>
      </c>
      <c r="C487" s="11" t="s">
        <v>25</v>
      </c>
      <c r="D487" s="13" t="s">
        <v>681</v>
      </c>
      <c r="E487" s="11" t="s">
        <v>16</v>
      </c>
      <c r="F487" s="11" t="s">
        <v>682</v>
      </c>
      <c r="G487" s="11" t="s">
        <v>17</v>
      </c>
      <c r="H487" s="11">
        <v>0</v>
      </c>
      <c r="I487" s="11" t="s">
        <v>669</v>
      </c>
      <c r="J487" s="11">
        <v>2</v>
      </c>
      <c r="K487" s="7" t="str">
        <f t="shared" si="4"/>
        <v>E251</v>
      </c>
      <c r="L487" s="8"/>
      <c r="M487" s="9" t="str">
        <f t="shared" si="5"/>
        <v>THH1651</v>
      </c>
      <c r="N487" s="9">
        <f t="shared" si="6"/>
        <v>7</v>
      </c>
      <c r="O487" s="9" t="str">
        <f t="shared" si="7"/>
        <v>K/1THH1651</v>
      </c>
    </row>
    <row r="488" spans="1:15" ht="17.5" x14ac:dyDescent="0.55000000000000004">
      <c r="A488" s="12" t="s">
        <v>663</v>
      </c>
      <c r="B488" s="6" t="s">
        <v>31</v>
      </c>
      <c r="C488" s="6" t="s">
        <v>64</v>
      </c>
      <c r="D488" s="12" t="s">
        <v>683</v>
      </c>
      <c r="E488" s="6" t="s">
        <v>16</v>
      </c>
      <c r="F488" s="6" t="s">
        <v>684</v>
      </c>
      <c r="G488" s="6" t="s">
        <v>17</v>
      </c>
      <c r="H488" s="6">
        <v>0</v>
      </c>
      <c r="I488" s="6" t="s">
        <v>669</v>
      </c>
      <c r="J488" s="6">
        <v>2</v>
      </c>
      <c r="K488" s="7" t="str">
        <f t="shared" si="4"/>
        <v>E251</v>
      </c>
      <c r="L488" s="8"/>
      <c r="M488" s="9" t="str">
        <f t="shared" si="5"/>
        <v>THH1612</v>
      </c>
      <c r="N488" s="9">
        <f t="shared" si="6"/>
        <v>7</v>
      </c>
      <c r="O488" s="9" t="str">
        <f t="shared" si="7"/>
        <v>K/1THH1612</v>
      </c>
    </row>
    <row r="489" spans="1:15" ht="17.5" x14ac:dyDescent="0.55000000000000004">
      <c r="A489" s="13" t="s">
        <v>663</v>
      </c>
      <c r="B489" s="11" t="s">
        <v>31</v>
      </c>
      <c r="C489" s="11" t="s">
        <v>49</v>
      </c>
      <c r="D489" s="13" t="s">
        <v>667</v>
      </c>
      <c r="E489" s="11" t="s">
        <v>50</v>
      </c>
      <c r="F489" s="11" t="s">
        <v>668</v>
      </c>
      <c r="G489" s="11" t="s">
        <v>17</v>
      </c>
      <c r="H489" s="11">
        <v>0</v>
      </c>
      <c r="I489" s="11" t="s">
        <v>669</v>
      </c>
      <c r="J489" s="11">
        <v>2</v>
      </c>
      <c r="K489" s="7" t="str">
        <f t="shared" si="4"/>
        <v>E251</v>
      </c>
      <c r="L489" s="8"/>
      <c r="M489" s="9" t="str">
        <f t="shared" si="5"/>
        <v>THH1616</v>
      </c>
      <c r="N489" s="9">
        <f t="shared" si="6"/>
        <v>7</v>
      </c>
      <c r="O489" s="9" t="str">
        <f t="shared" si="7"/>
        <v>P/1THH1616</v>
      </c>
    </row>
    <row r="490" spans="1:15" ht="17.5" x14ac:dyDescent="0.55000000000000004">
      <c r="A490" s="12" t="s">
        <v>663</v>
      </c>
      <c r="B490" s="6" t="s">
        <v>31</v>
      </c>
      <c r="C490" s="6" t="s">
        <v>49</v>
      </c>
      <c r="D490" s="12" t="s">
        <v>681</v>
      </c>
      <c r="E490" s="6" t="s">
        <v>50</v>
      </c>
      <c r="F490" s="6" t="s">
        <v>682</v>
      </c>
      <c r="G490" s="6" t="s">
        <v>17</v>
      </c>
      <c r="H490" s="6">
        <v>0</v>
      </c>
      <c r="I490" s="6" t="s">
        <v>669</v>
      </c>
      <c r="J490" s="6">
        <v>2</v>
      </c>
      <c r="K490" s="7" t="str">
        <f t="shared" si="4"/>
        <v>E251</v>
      </c>
      <c r="L490" s="8"/>
      <c r="M490" s="9" t="str">
        <f t="shared" si="5"/>
        <v>THH1651</v>
      </c>
      <c r="N490" s="9">
        <f t="shared" si="6"/>
        <v>7</v>
      </c>
      <c r="O490" s="9" t="str">
        <f t="shared" si="7"/>
        <v>P/1THH1651</v>
      </c>
    </row>
    <row r="491" spans="1:15" ht="17.5" x14ac:dyDescent="0.55000000000000004">
      <c r="A491" s="13" t="s">
        <v>663</v>
      </c>
      <c r="B491" s="11" t="s">
        <v>41</v>
      </c>
      <c r="C491" s="11" t="s">
        <v>14</v>
      </c>
      <c r="D491" s="13" t="s">
        <v>685</v>
      </c>
      <c r="E491" s="11" t="s">
        <v>16</v>
      </c>
      <c r="F491" s="11" t="s">
        <v>680</v>
      </c>
      <c r="G491" s="11" t="s">
        <v>17</v>
      </c>
      <c r="H491" s="11">
        <v>0</v>
      </c>
      <c r="I491" s="11" t="s">
        <v>669</v>
      </c>
      <c r="J491" s="11">
        <v>2</v>
      </c>
      <c r="K491" s="7" t="str">
        <f t="shared" si="4"/>
        <v>E251</v>
      </c>
      <c r="L491" s="8"/>
      <c r="M491" s="9" t="str">
        <f t="shared" si="5"/>
        <v>THH1602</v>
      </c>
      <c r="N491" s="9">
        <f t="shared" si="6"/>
        <v>7</v>
      </c>
      <c r="O491" s="9" t="str">
        <f t="shared" si="7"/>
        <v>K/1THH1602</v>
      </c>
    </row>
    <row r="492" spans="1:15" ht="17.5" x14ac:dyDescent="0.55000000000000004">
      <c r="A492" s="12" t="s">
        <v>663</v>
      </c>
      <c r="B492" s="6" t="s">
        <v>41</v>
      </c>
      <c r="C492" s="6" t="s">
        <v>686</v>
      </c>
      <c r="D492" s="12" t="s">
        <v>679</v>
      </c>
      <c r="E492" s="6" t="s">
        <v>50</v>
      </c>
      <c r="F492" s="6" t="s">
        <v>680</v>
      </c>
      <c r="G492" s="6" t="s">
        <v>17</v>
      </c>
      <c r="H492" s="6">
        <v>0</v>
      </c>
      <c r="I492" s="6" t="s">
        <v>669</v>
      </c>
      <c r="J492" s="6">
        <v>2</v>
      </c>
      <c r="K492" s="7" t="str">
        <f t="shared" si="4"/>
        <v>E251</v>
      </c>
      <c r="L492" s="8"/>
      <c r="M492" s="9" t="str">
        <f t="shared" si="5"/>
        <v>THH1643</v>
      </c>
      <c r="N492" s="9">
        <f t="shared" si="6"/>
        <v>7</v>
      </c>
      <c r="O492" s="9" t="str">
        <f t="shared" si="7"/>
        <v>P/1THH1643</v>
      </c>
    </row>
    <row r="493" spans="1:15" ht="17.5" x14ac:dyDescent="0.55000000000000004">
      <c r="A493" s="13" t="s">
        <v>663</v>
      </c>
      <c r="B493" s="11" t="s">
        <v>41</v>
      </c>
      <c r="C493" s="11" t="s">
        <v>687</v>
      </c>
      <c r="D493" s="13" t="s">
        <v>676</v>
      </c>
      <c r="E493" s="11" t="s">
        <v>50</v>
      </c>
      <c r="F493" s="11" t="s">
        <v>677</v>
      </c>
      <c r="G493" s="11" t="s">
        <v>17</v>
      </c>
      <c r="H493" s="11">
        <v>0</v>
      </c>
      <c r="I493" s="11" t="s">
        <v>669</v>
      </c>
      <c r="J493" s="11">
        <v>2</v>
      </c>
      <c r="K493" s="7" t="str">
        <f t="shared" si="4"/>
        <v>E251</v>
      </c>
      <c r="L493" s="8"/>
      <c r="M493" s="9" t="str">
        <f t="shared" si="5"/>
        <v>THH1624</v>
      </c>
      <c r="N493" s="9">
        <f t="shared" si="6"/>
        <v>7</v>
      </c>
      <c r="O493" s="9" t="str">
        <f t="shared" si="7"/>
        <v>P/1THH1624</v>
      </c>
    </row>
    <row r="494" spans="1:15" ht="17.5" x14ac:dyDescent="0.55000000000000004">
      <c r="A494" s="12" t="s">
        <v>663</v>
      </c>
      <c r="B494" s="6" t="s">
        <v>41</v>
      </c>
      <c r="C494" s="6" t="s">
        <v>49</v>
      </c>
      <c r="D494" s="12" t="s">
        <v>664</v>
      </c>
      <c r="E494" s="6" t="s">
        <v>50</v>
      </c>
      <c r="F494" s="6" t="s">
        <v>665</v>
      </c>
      <c r="G494" s="6" t="s">
        <v>17</v>
      </c>
      <c r="H494" s="6">
        <v>0</v>
      </c>
      <c r="I494" s="6" t="s">
        <v>666</v>
      </c>
      <c r="J494" s="6">
        <v>2</v>
      </c>
      <c r="K494" s="7" t="str">
        <f t="shared" si="4"/>
        <v>E251</v>
      </c>
      <c r="L494" s="8"/>
      <c r="M494" s="9" t="str">
        <f t="shared" si="5"/>
        <v>THH1501</v>
      </c>
      <c r="N494" s="9">
        <f t="shared" si="6"/>
        <v>7</v>
      </c>
      <c r="O494" s="9" t="str">
        <f t="shared" si="7"/>
        <v>P/1THH1501</v>
      </c>
    </row>
    <row r="495" spans="1:15" ht="17.5" x14ac:dyDescent="0.55000000000000004">
      <c r="A495" s="13" t="s">
        <v>663</v>
      </c>
      <c r="B495" s="11" t="s">
        <v>41</v>
      </c>
      <c r="C495" s="11" t="s">
        <v>49</v>
      </c>
      <c r="D495" s="13" t="s">
        <v>688</v>
      </c>
      <c r="E495" s="11" t="s">
        <v>16</v>
      </c>
      <c r="F495" s="11" t="s">
        <v>689</v>
      </c>
      <c r="G495" s="11" t="s">
        <v>17</v>
      </c>
      <c r="H495" s="11">
        <v>0</v>
      </c>
      <c r="I495" s="11" t="s">
        <v>666</v>
      </c>
      <c r="J495" s="11">
        <v>2</v>
      </c>
      <c r="K495" s="7" t="str">
        <f t="shared" si="4"/>
        <v>E251</v>
      </c>
      <c r="L495" s="8"/>
      <c r="M495" s="9" t="str">
        <f t="shared" si="5"/>
        <v>THH1541</v>
      </c>
      <c r="N495" s="9">
        <f t="shared" si="6"/>
        <v>7</v>
      </c>
      <c r="O495" s="9" t="str">
        <f t="shared" si="7"/>
        <v>K/1THH1541</v>
      </c>
    </row>
    <row r="496" spans="1:15" ht="17.5" x14ac:dyDescent="0.55000000000000004">
      <c r="A496" s="12" t="s">
        <v>663</v>
      </c>
      <c r="B496" s="6" t="s">
        <v>47</v>
      </c>
      <c r="C496" s="6" t="s">
        <v>14</v>
      </c>
      <c r="D496" s="12" t="s">
        <v>690</v>
      </c>
      <c r="E496" s="6" t="s">
        <v>16</v>
      </c>
      <c r="F496" s="6" t="s">
        <v>691</v>
      </c>
      <c r="G496" s="6" t="s">
        <v>17</v>
      </c>
      <c r="H496" s="6">
        <v>0</v>
      </c>
      <c r="I496" s="6" t="s">
        <v>669</v>
      </c>
      <c r="J496" s="6">
        <v>2</v>
      </c>
      <c r="K496" s="7" t="str">
        <f t="shared" si="4"/>
        <v>E251</v>
      </c>
      <c r="L496" s="8"/>
      <c r="M496" s="9" t="str">
        <f t="shared" si="5"/>
        <v>THH1632</v>
      </c>
      <c r="N496" s="9">
        <f t="shared" si="6"/>
        <v>7</v>
      </c>
      <c r="O496" s="9" t="str">
        <f t="shared" si="7"/>
        <v>K/1THH1632</v>
      </c>
    </row>
    <row r="497" spans="1:15" ht="17.5" x14ac:dyDescent="0.55000000000000004">
      <c r="A497" s="13" t="s">
        <v>663</v>
      </c>
      <c r="B497" s="11" t="s">
        <v>47</v>
      </c>
      <c r="C497" s="11" t="s">
        <v>25</v>
      </c>
      <c r="D497" s="13" t="s">
        <v>692</v>
      </c>
      <c r="E497" s="11" t="s">
        <v>16</v>
      </c>
      <c r="F497" s="11" t="s">
        <v>689</v>
      </c>
      <c r="G497" s="11" t="s">
        <v>17</v>
      </c>
      <c r="H497" s="11">
        <v>0</v>
      </c>
      <c r="I497" s="11" t="s">
        <v>666</v>
      </c>
      <c r="J497" s="11">
        <v>2</v>
      </c>
      <c r="K497" s="7" t="str">
        <f t="shared" si="4"/>
        <v>E251</v>
      </c>
      <c r="L497" s="8"/>
      <c r="M497" s="9" t="str">
        <f t="shared" si="5"/>
        <v>THH150R</v>
      </c>
      <c r="N497" s="9">
        <f t="shared" si="6"/>
        <v>7</v>
      </c>
      <c r="O497" s="9" t="str">
        <f t="shared" si="7"/>
        <v>K/1THH150R</v>
      </c>
    </row>
    <row r="498" spans="1:15" ht="17.5" x14ac:dyDescent="0.55000000000000004">
      <c r="A498" s="12" t="s">
        <v>663</v>
      </c>
      <c r="B498" s="6" t="s">
        <v>47</v>
      </c>
      <c r="C498" s="6" t="s">
        <v>64</v>
      </c>
      <c r="D498" s="12" t="s">
        <v>693</v>
      </c>
      <c r="E498" s="6" t="s">
        <v>16</v>
      </c>
      <c r="F498" s="6" t="s">
        <v>694</v>
      </c>
      <c r="G498" s="6" t="s">
        <v>17</v>
      </c>
      <c r="H498" s="6">
        <v>0</v>
      </c>
      <c r="I498" s="6" t="s">
        <v>666</v>
      </c>
      <c r="J498" s="6">
        <v>2</v>
      </c>
      <c r="K498" s="7" t="str">
        <f t="shared" si="4"/>
        <v>E251</v>
      </c>
      <c r="L498" s="8"/>
      <c r="M498" s="9" t="str">
        <f t="shared" si="5"/>
        <v>THH1511</v>
      </c>
      <c r="N498" s="9">
        <f t="shared" si="6"/>
        <v>7</v>
      </c>
      <c r="O498" s="9" t="str">
        <f t="shared" si="7"/>
        <v>K/1THH1511</v>
      </c>
    </row>
    <row r="499" spans="1:15" ht="17.5" x14ac:dyDescent="0.55000000000000004">
      <c r="A499" s="13" t="s">
        <v>663</v>
      </c>
      <c r="B499" s="11" t="s">
        <v>47</v>
      </c>
      <c r="C499" s="11" t="s">
        <v>49</v>
      </c>
      <c r="D499" s="13" t="s">
        <v>690</v>
      </c>
      <c r="E499" s="11" t="s">
        <v>50</v>
      </c>
      <c r="F499" s="11" t="s">
        <v>691</v>
      </c>
      <c r="G499" s="11" t="s">
        <v>17</v>
      </c>
      <c r="H499" s="11">
        <v>0</v>
      </c>
      <c r="I499" s="11" t="s">
        <v>669</v>
      </c>
      <c r="J499" s="11">
        <v>2</v>
      </c>
      <c r="K499" s="7" t="str">
        <f t="shared" si="4"/>
        <v>E251</v>
      </c>
      <c r="L499" s="8"/>
      <c r="M499" s="9" t="str">
        <f t="shared" si="5"/>
        <v>THH1632</v>
      </c>
      <c r="N499" s="9">
        <f t="shared" si="6"/>
        <v>7</v>
      </c>
      <c r="O499" s="9" t="str">
        <f t="shared" si="7"/>
        <v>P/1THH1632</v>
      </c>
    </row>
    <row r="500" spans="1:15" ht="17.5" x14ac:dyDescent="0.55000000000000004">
      <c r="A500" s="12" t="s">
        <v>663</v>
      </c>
      <c r="B500" s="6" t="s">
        <v>52</v>
      </c>
      <c r="C500" s="6" t="s">
        <v>426</v>
      </c>
      <c r="D500" s="12" t="s">
        <v>685</v>
      </c>
      <c r="E500" s="6" t="s">
        <v>50</v>
      </c>
      <c r="F500" s="6" t="s">
        <v>680</v>
      </c>
      <c r="G500" s="6" t="s">
        <v>17</v>
      </c>
      <c r="H500" s="6">
        <v>0</v>
      </c>
      <c r="I500" s="6" t="s">
        <v>669</v>
      </c>
      <c r="J500" s="6">
        <v>2</v>
      </c>
      <c r="K500" s="7" t="str">
        <f t="shared" si="4"/>
        <v>E251</v>
      </c>
      <c r="L500" s="8"/>
      <c r="M500" s="9" t="str">
        <f t="shared" si="5"/>
        <v>THH1602</v>
      </c>
      <c r="N500" s="9">
        <f t="shared" si="6"/>
        <v>7</v>
      </c>
      <c r="O500" s="9" t="str">
        <f t="shared" si="7"/>
        <v>P/1THH1602</v>
      </c>
    </row>
    <row r="501" spans="1:15" ht="17.5" x14ac:dyDescent="0.55000000000000004">
      <c r="A501" s="13" t="s">
        <v>663</v>
      </c>
      <c r="B501" s="11" t="s">
        <v>52</v>
      </c>
      <c r="C501" s="11" t="s">
        <v>426</v>
      </c>
      <c r="D501" s="13" t="s">
        <v>683</v>
      </c>
      <c r="E501" s="11" t="s">
        <v>50</v>
      </c>
      <c r="F501" s="11" t="s">
        <v>684</v>
      </c>
      <c r="G501" s="11" t="s">
        <v>17</v>
      </c>
      <c r="H501" s="11">
        <v>0</v>
      </c>
      <c r="I501" s="11" t="s">
        <v>669</v>
      </c>
      <c r="J501" s="11">
        <v>2</v>
      </c>
      <c r="K501" s="7" t="str">
        <f t="shared" si="4"/>
        <v>E251</v>
      </c>
      <c r="L501" s="8"/>
      <c r="M501" s="9" t="str">
        <f t="shared" si="5"/>
        <v>THH1612</v>
      </c>
      <c r="N501" s="9">
        <f t="shared" si="6"/>
        <v>7</v>
      </c>
      <c r="O501" s="9" t="str">
        <f t="shared" si="7"/>
        <v>P/1THH1612</v>
      </c>
    </row>
    <row r="502" spans="1:15" ht="17.5" x14ac:dyDescent="0.55000000000000004">
      <c r="A502" s="12" t="s">
        <v>663</v>
      </c>
      <c r="B502" s="6" t="s">
        <v>52</v>
      </c>
      <c r="C502" s="6" t="s">
        <v>426</v>
      </c>
      <c r="D502" s="12" t="s">
        <v>672</v>
      </c>
      <c r="E502" s="6" t="s">
        <v>50</v>
      </c>
      <c r="F502" s="6" t="s">
        <v>673</v>
      </c>
      <c r="G502" s="6" t="s">
        <v>17</v>
      </c>
      <c r="H502" s="6">
        <v>0</v>
      </c>
      <c r="I502" s="6" t="s">
        <v>669</v>
      </c>
      <c r="J502" s="6">
        <v>2</v>
      </c>
      <c r="K502" s="7" t="str">
        <f t="shared" si="4"/>
        <v>E251</v>
      </c>
      <c r="L502" s="8"/>
      <c r="M502" s="9" t="str">
        <f t="shared" si="5"/>
        <v>THH1633</v>
      </c>
      <c r="N502" s="9">
        <f t="shared" si="6"/>
        <v>7</v>
      </c>
      <c r="O502" s="9" t="str">
        <f t="shared" si="7"/>
        <v>P/1THH1633</v>
      </c>
    </row>
    <row r="503" spans="1:15" ht="17.5" x14ac:dyDescent="0.55000000000000004">
      <c r="A503" s="13" t="s">
        <v>663</v>
      </c>
      <c r="B503" s="11" t="s">
        <v>52</v>
      </c>
      <c r="C503" s="11" t="s">
        <v>90</v>
      </c>
      <c r="D503" s="13" t="s">
        <v>678</v>
      </c>
      <c r="E503" s="11" t="s">
        <v>50</v>
      </c>
      <c r="F503" s="11" t="s">
        <v>668</v>
      </c>
      <c r="G503" s="11" t="s">
        <v>17</v>
      </c>
      <c r="H503" s="11">
        <v>0</v>
      </c>
      <c r="I503" s="11" t="s">
        <v>666</v>
      </c>
      <c r="J503" s="11">
        <v>2</v>
      </c>
      <c r="K503" s="7" t="str">
        <f t="shared" si="4"/>
        <v>E251</v>
      </c>
      <c r="L503" s="8"/>
      <c r="M503" s="9" t="str">
        <f t="shared" si="5"/>
        <v>THH1502</v>
      </c>
      <c r="N503" s="9">
        <f t="shared" si="6"/>
        <v>7</v>
      </c>
      <c r="O503" s="9" t="str">
        <f t="shared" si="7"/>
        <v>P/1THH1502</v>
      </c>
    </row>
    <row r="504" spans="1:15" ht="17.5" x14ac:dyDescent="0.55000000000000004">
      <c r="A504" s="12" t="s">
        <v>695</v>
      </c>
      <c r="B504" s="6" t="s">
        <v>13</v>
      </c>
      <c r="C504" s="6" t="s">
        <v>581</v>
      </c>
      <c r="D504" s="12" t="s">
        <v>696</v>
      </c>
      <c r="E504" s="6" t="s">
        <v>16</v>
      </c>
      <c r="F504" s="6" t="s">
        <v>697</v>
      </c>
      <c r="G504" s="6" t="s">
        <v>698</v>
      </c>
      <c r="H504" s="6">
        <v>20</v>
      </c>
      <c r="I504" s="6" t="s">
        <v>699</v>
      </c>
      <c r="J504" s="6">
        <v>2</v>
      </c>
      <c r="K504" s="7" t="str">
        <f t="shared" si="4"/>
        <v>E351</v>
      </c>
      <c r="L504" s="8"/>
      <c r="M504" s="9" t="str">
        <f t="shared" si="5"/>
        <v>KSH1502</v>
      </c>
      <c r="N504" s="9">
        <f t="shared" si="6"/>
        <v>7</v>
      </c>
      <c r="O504" s="9" t="str">
        <f t="shared" si="7"/>
        <v>K/1KSH1502</v>
      </c>
    </row>
    <row r="505" spans="1:15" ht="17.5" x14ac:dyDescent="0.55000000000000004">
      <c r="A505" s="13" t="s">
        <v>695</v>
      </c>
      <c r="B505" s="11" t="s">
        <v>13</v>
      </c>
      <c r="C505" s="11" t="s">
        <v>700</v>
      </c>
      <c r="D505" s="13" t="s">
        <v>696</v>
      </c>
      <c r="E505" s="11" t="s">
        <v>50</v>
      </c>
      <c r="F505" s="11" t="s">
        <v>697</v>
      </c>
      <c r="G505" s="11" t="s">
        <v>698</v>
      </c>
      <c r="H505" s="11">
        <v>20</v>
      </c>
      <c r="I505" s="11" t="s">
        <v>699</v>
      </c>
      <c r="J505" s="11">
        <v>2</v>
      </c>
      <c r="K505" s="7" t="str">
        <f t="shared" si="4"/>
        <v>E351</v>
      </c>
      <c r="L505" s="8"/>
      <c r="M505" s="9" t="str">
        <f t="shared" si="5"/>
        <v>KSH1502</v>
      </c>
      <c r="N505" s="9">
        <f t="shared" si="6"/>
        <v>7</v>
      </c>
      <c r="O505" s="9" t="str">
        <f t="shared" si="7"/>
        <v>P/1KSH1502</v>
      </c>
    </row>
    <row r="506" spans="1:15" ht="17.5" x14ac:dyDescent="0.55000000000000004">
      <c r="A506" s="12" t="s">
        <v>695</v>
      </c>
      <c r="B506" s="6" t="s">
        <v>31</v>
      </c>
      <c r="C506" s="6" t="s">
        <v>191</v>
      </c>
      <c r="D506" s="12" t="s">
        <v>701</v>
      </c>
      <c r="E506" s="6" t="s">
        <v>16</v>
      </c>
      <c r="F506" s="6" t="s">
        <v>702</v>
      </c>
      <c r="G506" s="6" t="s">
        <v>698</v>
      </c>
      <c r="H506" s="6">
        <v>20</v>
      </c>
      <c r="I506" s="6" t="s">
        <v>699</v>
      </c>
      <c r="J506" s="6">
        <v>2</v>
      </c>
      <c r="K506" s="7" t="str">
        <f t="shared" si="4"/>
        <v>E351</v>
      </c>
      <c r="L506" s="8"/>
      <c r="M506" s="9" t="str">
        <f t="shared" si="5"/>
        <v>KSH1511</v>
      </c>
      <c r="N506" s="9">
        <f t="shared" si="6"/>
        <v>7</v>
      </c>
      <c r="O506" s="9" t="str">
        <f t="shared" si="7"/>
        <v>K/1KSH1511</v>
      </c>
    </row>
    <row r="507" spans="1:15" ht="17.5" x14ac:dyDescent="0.55000000000000004">
      <c r="A507" s="13" t="s">
        <v>695</v>
      </c>
      <c r="B507" s="11" t="s">
        <v>31</v>
      </c>
      <c r="C507" s="11" t="s">
        <v>191</v>
      </c>
      <c r="D507" s="13" t="s">
        <v>703</v>
      </c>
      <c r="E507" s="11" t="s">
        <v>155</v>
      </c>
      <c r="F507" s="11" t="s">
        <v>704</v>
      </c>
      <c r="G507" s="11" t="s">
        <v>705</v>
      </c>
      <c r="H507" s="11">
        <v>30</v>
      </c>
      <c r="I507" s="11" t="s">
        <v>699</v>
      </c>
      <c r="J507" s="11">
        <v>2</v>
      </c>
      <c r="K507" s="7" t="str">
        <f t="shared" si="4"/>
        <v>E351</v>
      </c>
      <c r="L507" s="8"/>
      <c r="M507" s="9" t="str">
        <f t="shared" si="5"/>
        <v>KSH1656</v>
      </c>
      <c r="N507" s="9">
        <f t="shared" si="6"/>
        <v>7</v>
      </c>
      <c r="O507" s="9" t="str">
        <f t="shared" si="7"/>
        <v>K/2KSH1656</v>
      </c>
    </row>
    <row r="508" spans="1:15" ht="17.5" x14ac:dyDescent="0.55000000000000004">
      <c r="A508" s="12" t="s">
        <v>695</v>
      </c>
      <c r="B508" s="6" t="s">
        <v>31</v>
      </c>
      <c r="C508" s="6" t="s">
        <v>49</v>
      </c>
      <c r="D508" s="12" t="s">
        <v>701</v>
      </c>
      <c r="E508" s="6" t="s">
        <v>50</v>
      </c>
      <c r="F508" s="6" t="s">
        <v>702</v>
      </c>
      <c r="G508" s="6" t="s">
        <v>698</v>
      </c>
      <c r="H508" s="6">
        <v>20</v>
      </c>
      <c r="I508" s="6" t="s">
        <v>699</v>
      </c>
      <c r="J508" s="6">
        <v>2</v>
      </c>
      <c r="K508" s="7" t="str">
        <f t="shared" si="4"/>
        <v>E351</v>
      </c>
      <c r="L508" s="8"/>
      <c r="M508" s="9" t="str">
        <f t="shared" si="5"/>
        <v>KSH1511</v>
      </c>
      <c r="N508" s="9">
        <f t="shared" si="6"/>
        <v>7</v>
      </c>
      <c r="O508" s="9" t="str">
        <f t="shared" si="7"/>
        <v>P/1KSH1511</v>
      </c>
    </row>
    <row r="509" spans="1:15" ht="17.5" x14ac:dyDescent="0.55000000000000004">
      <c r="A509" s="13" t="s">
        <v>695</v>
      </c>
      <c r="B509" s="11" t="s">
        <v>41</v>
      </c>
      <c r="C509" s="11" t="s">
        <v>581</v>
      </c>
      <c r="D509" s="13" t="s">
        <v>706</v>
      </c>
      <c r="E509" s="11" t="s">
        <v>16</v>
      </c>
      <c r="F509" s="11" t="s">
        <v>707</v>
      </c>
      <c r="G509" s="11" t="s">
        <v>698</v>
      </c>
      <c r="H509" s="11">
        <v>20</v>
      </c>
      <c r="I509" s="11" t="s">
        <v>699</v>
      </c>
      <c r="J509" s="11">
        <v>2</v>
      </c>
      <c r="K509" s="7" t="str">
        <f t="shared" si="4"/>
        <v>E351</v>
      </c>
      <c r="L509" s="8"/>
      <c r="M509" s="9" t="str">
        <f t="shared" si="5"/>
        <v>KSH1512</v>
      </c>
      <c r="N509" s="9">
        <f t="shared" si="6"/>
        <v>7</v>
      </c>
      <c r="O509" s="9" t="str">
        <f t="shared" si="7"/>
        <v>K/1KSH1512</v>
      </c>
    </row>
    <row r="510" spans="1:15" ht="17.5" x14ac:dyDescent="0.55000000000000004">
      <c r="A510" s="12" t="s">
        <v>695</v>
      </c>
      <c r="B510" s="6" t="s">
        <v>41</v>
      </c>
      <c r="C510" s="6" t="s">
        <v>191</v>
      </c>
      <c r="D510" s="12" t="s">
        <v>708</v>
      </c>
      <c r="E510" s="6" t="s">
        <v>16</v>
      </c>
      <c r="F510" s="6" t="s">
        <v>709</v>
      </c>
      <c r="G510" s="6" t="s">
        <v>17</v>
      </c>
      <c r="H510" s="6">
        <v>0</v>
      </c>
      <c r="I510" s="6" t="s">
        <v>699</v>
      </c>
      <c r="J510" s="6">
        <v>2</v>
      </c>
      <c r="K510" s="7" t="str">
        <f t="shared" si="4"/>
        <v>E351</v>
      </c>
      <c r="L510" s="8"/>
      <c r="M510" s="9" t="str">
        <f t="shared" si="5"/>
        <v>KSH1541</v>
      </c>
      <c r="N510" s="9">
        <f t="shared" si="6"/>
        <v>7</v>
      </c>
      <c r="O510" s="9" t="str">
        <f t="shared" si="7"/>
        <v>K/1KSH1541</v>
      </c>
    </row>
    <row r="511" spans="1:15" ht="17.5" x14ac:dyDescent="0.55000000000000004">
      <c r="A511" s="13" t="s">
        <v>695</v>
      </c>
      <c r="B511" s="11" t="s">
        <v>41</v>
      </c>
      <c r="C511" s="11" t="s">
        <v>49</v>
      </c>
      <c r="D511" s="13" t="s">
        <v>706</v>
      </c>
      <c r="E511" s="11" t="s">
        <v>50</v>
      </c>
      <c r="F511" s="11" t="s">
        <v>707</v>
      </c>
      <c r="G511" s="11" t="s">
        <v>698</v>
      </c>
      <c r="H511" s="11">
        <v>20</v>
      </c>
      <c r="I511" s="11" t="s">
        <v>699</v>
      </c>
      <c r="J511" s="11">
        <v>2</v>
      </c>
      <c r="K511" s="7" t="str">
        <f t="shared" si="4"/>
        <v>E351</v>
      </c>
      <c r="L511" s="8"/>
      <c r="M511" s="9" t="str">
        <f t="shared" si="5"/>
        <v>KSH1512</v>
      </c>
      <c r="N511" s="9">
        <f t="shared" si="6"/>
        <v>7</v>
      </c>
      <c r="O511" s="9" t="str">
        <f t="shared" si="7"/>
        <v>P/1KSH1512</v>
      </c>
    </row>
    <row r="512" spans="1:15" ht="17.5" x14ac:dyDescent="0.55000000000000004">
      <c r="A512" s="12" t="s">
        <v>695</v>
      </c>
      <c r="B512" s="6" t="s">
        <v>47</v>
      </c>
      <c r="C512" s="6" t="s">
        <v>14</v>
      </c>
      <c r="D512" s="12" t="s">
        <v>710</v>
      </c>
      <c r="E512" s="6" t="s">
        <v>16</v>
      </c>
      <c r="F512" s="6" t="s">
        <v>711</v>
      </c>
      <c r="G512" s="6" t="s">
        <v>17</v>
      </c>
      <c r="H512" s="6">
        <v>0</v>
      </c>
      <c r="I512" s="6" t="s">
        <v>712</v>
      </c>
      <c r="J512" s="6">
        <v>2</v>
      </c>
      <c r="K512" s="7" t="str">
        <f t="shared" ref="K512:K766" si="8">LEFT(A512,4)</f>
        <v>E351</v>
      </c>
      <c r="L512" s="8"/>
      <c r="M512" s="9" t="str">
        <f t="shared" ref="M512:M766" si="9">LEFT(D512,7)</f>
        <v>KSH1618</v>
      </c>
      <c r="N512" s="9">
        <f t="shared" ref="N512:N766" si="10">LEN(TRIM(M512))</f>
        <v>7</v>
      </c>
      <c r="O512" s="9" t="str">
        <f t="shared" ref="O512:O766" si="11">E512&amp;LEFT(D512,7)</f>
        <v>K/1KSH1618</v>
      </c>
    </row>
    <row r="513" spans="1:15" ht="17.5" x14ac:dyDescent="0.55000000000000004">
      <c r="A513" s="13" t="s">
        <v>695</v>
      </c>
      <c r="B513" s="11" t="s">
        <v>47</v>
      </c>
      <c r="C513" s="11" t="s">
        <v>191</v>
      </c>
      <c r="D513" s="13" t="s">
        <v>713</v>
      </c>
      <c r="E513" s="11" t="s">
        <v>16</v>
      </c>
      <c r="F513" s="11" t="s">
        <v>704</v>
      </c>
      <c r="G513" s="11" t="s">
        <v>705</v>
      </c>
      <c r="H513" s="11">
        <v>30</v>
      </c>
      <c r="I513" s="11" t="s">
        <v>712</v>
      </c>
      <c r="J513" s="11">
        <v>2</v>
      </c>
      <c r="K513" s="7" t="str">
        <f t="shared" si="8"/>
        <v>E351</v>
      </c>
      <c r="L513" s="8"/>
      <c r="M513" s="9" t="str">
        <f t="shared" si="9"/>
        <v>KSH1623</v>
      </c>
      <c r="N513" s="9">
        <f t="shared" si="10"/>
        <v>7</v>
      </c>
      <c r="O513" s="9" t="str">
        <f t="shared" si="11"/>
        <v>K/1KSH1623</v>
      </c>
    </row>
    <row r="514" spans="1:15" ht="17.5" x14ac:dyDescent="0.55000000000000004">
      <c r="A514" s="12" t="s">
        <v>695</v>
      </c>
      <c r="B514" s="6" t="s">
        <v>47</v>
      </c>
      <c r="C514" s="6" t="s">
        <v>191</v>
      </c>
      <c r="D514" s="12" t="s">
        <v>714</v>
      </c>
      <c r="E514" s="6" t="s">
        <v>16</v>
      </c>
      <c r="F514" s="6" t="s">
        <v>715</v>
      </c>
      <c r="G514" s="6" t="s">
        <v>716</v>
      </c>
      <c r="H514" s="6">
        <v>20</v>
      </c>
      <c r="I514" s="6" t="s">
        <v>712</v>
      </c>
      <c r="J514" s="6">
        <v>2</v>
      </c>
      <c r="K514" s="7" t="str">
        <f t="shared" si="8"/>
        <v>E351</v>
      </c>
      <c r="L514" s="8"/>
      <c r="M514" s="9" t="str">
        <f t="shared" si="9"/>
        <v>KSH1646</v>
      </c>
      <c r="N514" s="9">
        <f t="shared" si="10"/>
        <v>7</v>
      </c>
      <c r="O514" s="9" t="str">
        <f t="shared" si="11"/>
        <v>K/1KSH1646</v>
      </c>
    </row>
    <row r="515" spans="1:15" ht="17.5" x14ac:dyDescent="0.55000000000000004">
      <c r="A515" s="13" t="s">
        <v>695</v>
      </c>
      <c r="B515" s="11" t="s">
        <v>47</v>
      </c>
      <c r="C515" s="11" t="s">
        <v>191</v>
      </c>
      <c r="D515" s="13" t="s">
        <v>717</v>
      </c>
      <c r="E515" s="11" t="s">
        <v>16</v>
      </c>
      <c r="F515" s="11" t="s">
        <v>718</v>
      </c>
      <c r="G515" s="11" t="s">
        <v>719</v>
      </c>
      <c r="H515" s="11">
        <v>20</v>
      </c>
      <c r="I515" s="11" t="s">
        <v>712</v>
      </c>
      <c r="J515" s="11">
        <v>2</v>
      </c>
      <c r="K515" s="7" t="str">
        <f t="shared" si="8"/>
        <v>E351</v>
      </c>
      <c r="L515" s="8"/>
      <c r="M515" s="9" t="str">
        <f t="shared" si="9"/>
        <v>KSH1655</v>
      </c>
      <c r="N515" s="9">
        <f t="shared" si="10"/>
        <v>7</v>
      </c>
      <c r="O515" s="9" t="str">
        <f t="shared" si="11"/>
        <v>K/1KSH1655</v>
      </c>
    </row>
    <row r="516" spans="1:15" ht="17.5" x14ac:dyDescent="0.55000000000000004">
      <c r="A516" s="12" t="s">
        <v>695</v>
      </c>
      <c r="B516" s="6" t="s">
        <v>47</v>
      </c>
      <c r="C516" s="6" t="s">
        <v>49</v>
      </c>
      <c r="D516" s="12" t="s">
        <v>714</v>
      </c>
      <c r="E516" s="6" t="s">
        <v>144</v>
      </c>
      <c r="F516" s="6" t="s">
        <v>715</v>
      </c>
      <c r="G516" s="6" t="s">
        <v>716</v>
      </c>
      <c r="H516" s="6">
        <v>20</v>
      </c>
      <c r="I516" s="6" t="s">
        <v>712</v>
      </c>
      <c r="J516" s="6">
        <v>2</v>
      </c>
      <c r="K516" s="7" t="str">
        <f t="shared" si="8"/>
        <v>E351</v>
      </c>
      <c r="L516" s="8"/>
      <c r="M516" s="9" t="str">
        <f t="shared" si="9"/>
        <v>KSH1646</v>
      </c>
      <c r="N516" s="9">
        <f t="shared" si="10"/>
        <v>7</v>
      </c>
      <c r="O516" s="9" t="str">
        <f t="shared" si="11"/>
        <v>P/2KSH1646</v>
      </c>
    </row>
    <row r="517" spans="1:15" ht="17.5" x14ac:dyDescent="0.55000000000000004">
      <c r="A517" s="13" t="s">
        <v>695</v>
      </c>
      <c r="B517" s="11" t="s">
        <v>52</v>
      </c>
      <c r="C517" s="11" t="s">
        <v>154</v>
      </c>
      <c r="D517" s="10" t="s">
        <v>720</v>
      </c>
      <c r="E517" s="11" t="s">
        <v>16</v>
      </c>
      <c r="F517" s="11" t="s">
        <v>721</v>
      </c>
      <c r="G517" s="11" t="s">
        <v>719</v>
      </c>
      <c r="H517" s="11">
        <v>20</v>
      </c>
      <c r="I517" s="11" t="s">
        <v>722</v>
      </c>
      <c r="J517" s="11">
        <v>1</v>
      </c>
      <c r="K517" s="7" t="str">
        <f t="shared" si="8"/>
        <v>E351</v>
      </c>
      <c r="L517" s="8"/>
      <c r="M517" s="9" t="str">
        <f t="shared" si="9"/>
        <v>KSH1632</v>
      </c>
      <c r="N517" s="9">
        <f t="shared" si="10"/>
        <v>7</v>
      </c>
      <c r="O517" s="9" t="str">
        <f t="shared" si="11"/>
        <v>K/1KSH1632</v>
      </c>
    </row>
    <row r="518" spans="1:15" ht="17.5" x14ac:dyDescent="0.55000000000000004">
      <c r="A518" s="12" t="s">
        <v>695</v>
      </c>
      <c r="B518" s="6" t="s">
        <v>52</v>
      </c>
      <c r="C518" s="6" t="s">
        <v>235</v>
      </c>
      <c r="D518" s="12" t="s">
        <v>723</v>
      </c>
      <c r="E518" s="6" t="s">
        <v>16</v>
      </c>
      <c r="F518" s="6" t="s">
        <v>709</v>
      </c>
      <c r="G518" s="6" t="s">
        <v>705</v>
      </c>
      <c r="H518" s="6">
        <v>30</v>
      </c>
      <c r="I518" s="6" t="s">
        <v>712</v>
      </c>
      <c r="J518" s="6">
        <v>2</v>
      </c>
      <c r="K518" s="7" t="str">
        <f t="shared" si="8"/>
        <v>E351</v>
      </c>
      <c r="L518" s="8"/>
      <c r="M518" s="9" t="str">
        <f t="shared" si="9"/>
        <v>KSH1642</v>
      </c>
      <c r="N518" s="9">
        <f t="shared" si="10"/>
        <v>7</v>
      </c>
      <c r="O518" s="9" t="str">
        <f t="shared" si="11"/>
        <v>K/1KSH1642</v>
      </c>
    </row>
    <row r="519" spans="1:15" ht="17.5" x14ac:dyDescent="0.55000000000000004">
      <c r="A519" s="13" t="s">
        <v>724</v>
      </c>
      <c r="B519" s="11" t="s">
        <v>13</v>
      </c>
      <c r="C519" s="11" t="s">
        <v>132</v>
      </c>
      <c r="D519" s="13" t="s">
        <v>725</v>
      </c>
      <c r="E519" s="11" t="s">
        <v>16</v>
      </c>
      <c r="F519" s="11" t="s">
        <v>726</v>
      </c>
      <c r="G519" s="11" t="s">
        <v>727</v>
      </c>
      <c r="H519" s="11">
        <v>20</v>
      </c>
      <c r="I519" s="11" t="s">
        <v>728</v>
      </c>
      <c r="J519" s="11">
        <v>2</v>
      </c>
      <c r="K519" s="7" t="str">
        <f t="shared" si="8"/>
        <v>E451</v>
      </c>
      <c r="L519" s="8"/>
      <c r="M519" s="9" t="str">
        <f t="shared" si="9"/>
        <v>SVK1621</v>
      </c>
      <c r="N519" s="9">
        <f t="shared" si="10"/>
        <v>7</v>
      </c>
      <c r="O519" s="9" t="str">
        <f t="shared" si="11"/>
        <v>K/1SVK1621</v>
      </c>
    </row>
    <row r="520" spans="1:15" ht="17.5" x14ac:dyDescent="0.55000000000000004">
      <c r="A520" s="12" t="s">
        <v>724</v>
      </c>
      <c r="B520" s="6" t="s">
        <v>13</v>
      </c>
      <c r="C520" s="6" t="s">
        <v>14</v>
      </c>
      <c r="D520" s="12" t="s">
        <v>729</v>
      </c>
      <c r="E520" s="6" t="s">
        <v>16</v>
      </c>
      <c r="F520" s="6" t="s">
        <v>730</v>
      </c>
      <c r="G520" s="6" t="s">
        <v>731</v>
      </c>
      <c r="H520" s="6">
        <v>20</v>
      </c>
      <c r="I520" s="6" t="s">
        <v>728</v>
      </c>
      <c r="J520" s="6">
        <v>2</v>
      </c>
      <c r="K520" s="7" t="str">
        <f t="shared" si="8"/>
        <v>E451</v>
      </c>
      <c r="L520" s="8"/>
      <c r="M520" s="9" t="str">
        <f t="shared" si="9"/>
        <v>SVK1501</v>
      </c>
      <c r="N520" s="9">
        <f t="shared" si="10"/>
        <v>7</v>
      </c>
      <c r="O520" s="9" t="str">
        <f t="shared" si="11"/>
        <v>K/1SVK1501</v>
      </c>
    </row>
    <row r="521" spans="1:15" ht="17.5" x14ac:dyDescent="0.55000000000000004">
      <c r="A521" s="13" t="s">
        <v>724</v>
      </c>
      <c r="B521" s="11" t="s">
        <v>13</v>
      </c>
      <c r="C521" s="11" t="s">
        <v>423</v>
      </c>
      <c r="D521" s="13" t="s">
        <v>725</v>
      </c>
      <c r="E521" s="11" t="s">
        <v>50</v>
      </c>
      <c r="F521" s="11" t="s">
        <v>726</v>
      </c>
      <c r="G521" s="11" t="s">
        <v>727</v>
      </c>
      <c r="H521" s="11">
        <v>20</v>
      </c>
      <c r="I521" s="11" t="s">
        <v>728</v>
      </c>
      <c r="J521" s="11">
        <v>2</v>
      </c>
      <c r="K521" s="7" t="str">
        <f t="shared" si="8"/>
        <v>E451</v>
      </c>
      <c r="L521" s="8"/>
      <c r="M521" s="9" t="str">
        <f t="shared" si="9"/>
        <v>SVK1621</v>
      </c>
      <c r="N521" s="9">
        <f t="shared" si="10"/>
        <v>7</v>
      </c>
      <c r="O521" s="9" t="str">
        <f t="shared" si="11"/>
        <v>P/1SVK1621</v>
      </c>
    </row>
    <row r="522" spans="1:15" ht="17.5" x14ac:dyDescent="0.55000000000000004">
      <c r="A522" s="12" t="s">
        <v>724</v>
      </c>
      <c r="B522" s="6" t="s">
        <v>13</v>
      </c>
      <c r="C522" s="6" t="s">
        <v>147</v>
      </c>
      <c r="D522" s="12" t="s">
        <v>729</v>
      </c>
      <c r="E522" s="6" t="s">
        <v>50</v>
      </c>
      <c r="F522" s="6" t="s">
        <v>730</v>
      </c>
      <c r="G522" s="6" t="s">
        <v>731</v>
      </c>
      <c r="H522" s="6">
        <v>20</v>
      </c>
      <c r="I522" s="6" t="s">
        <v>728</v>
      </c>
      <c r="J522" s="6">
        <v>2</v>
      </c>
      <c r="K522" s="7" t="str">
        <f t="shared" si="8"/>
        <v>E451</v>
      </c>
      <c r="L522" s="8"/>
      <c r="M522" s="9" t="str">
        <f t="shared" si="9"/>
        <v>SVK1501</v>
      </c>
      <c r="N522" s="9">
        <f t="shared" si="10"/>
        <v>7</v>
      </c>
      <c r="O522" s="9" t="str">
        <f t="shared" si="11"/>
        <v>P/1SVK1501</v>
      </c>
    </row>
    <row r="523" spans="1:15" ht="17.5" x14ac:dyDescent="0.55000000000000004">
      <c r="A523" s="13" t="s">
        <v>724</v>
      </c>
      <c r="B523" s="11" t="s">
        <v>31</v>
      </c>
      <c r="C523" s="11" t="s">
        <v>25</v>
      </c>
      <c r="D523" s="13" t="s">
        <v>732</v>
      </c>
      <c r="E523" s="11" t="s">
        <v>16</v>
      </c>
      <c r="F523" s="11" t="s">
        <v>733</v>
      </c>
      <c r="G523" s="11" t="s">
        <v>734</v>
      </c>
      <c r="H523" s="11">
        <v>40</v>
      </c>
      <c r="I523" s="11" t="s">
        <v>735</v>
      </c>
      <c r="J523" s="11">
        <v>2</v>
      </c>
      <c r="K523" s="7" t="str">
        <f t="shared" si="8"/>
        <v>E451</v>
      </c>
      <c r="L523" s="8"/>
      <c r="M523" s="9" t="str">
        <f t="shared" si="9"/>
        <v>BOT1632</v>
      </c>
      <c r="N523" s="9">
        <f t="shared" si="10"/>
        <v>7</v>
      </c>
      <c r="O523" s="9" t="str">
        <f t="shared" si="11"/>
        <v>K/1BOT1632</v>
      </c>
    </row>
    <row r="524" spans="1:15" ht="17.5" x14ac:dyDescent="0.55000000000000004">
      <c r="A524" s="12" t="s">
        <v>724</v>
      </c>
      <c r="B524" s="6" t="s">
        <v>41</v>
      </c>
      <c r="C524" s="6" t="s">
        <v>132</v>
      </c>
      <c r="D524" s="12" t="s">
        <v>725</v>
      </c>
      <c r="E524" s="6" t="s">
        <v>155</v>
      </c>
      <c r="F524" s="6" t="s">
        <v>726</v>
      </c>
      <c r="G524" s="6" t="s">
        <v>727</v>
      </c>
      <c r="H524" s="6">
        <v>20</v>
      </c>
      <c r="I524" s="6" t="s">
        <v>728</v>
      </c>
      <c r="J524" s="6">
        <v>2</v>
      </c>
      <c r="K524" s="7" t="str">
        <f t="shared" si="8"/>
        <v>E451</v>
      </c>
      <c r="L524" s="8"/>
      <c r="M524" s="9" t="str">
        <f t="shared" si="9"/>
        <v>SVK1621</v>
      </c>
      <c r="N524" s="9">
        <f t="shared" si="10"/>
        <v>7</v>
      </c>
      <c r="O524" s="9" t="str">
        <f t="shared" si="11"/>
        <v>K/2SVK1621</v>
      </c>
    </row>
    <row r="525" spans="1:15" ht="17.5" x14ac:dyDescent="0.55000000000000004">
      <c r="A525" s="13" t="s">
        <v>724</v>
      </c>
      <c r="B525" s="11" t="s">
        <v>41</v>
      </c>
      <c r="C525" s="11" t="s">
        <v>14</v>
      </c>
      <c r="D525" s="13" t="s">
        <v>736</v>
      </c>
      <c r="E525" s="11" t="s">
        <v>16</v>
      </c>
      <c r="F525" s="11" t="s">
        <v>737</v>
      </c>
      <c r="G525" s="11" t="s">
        <v>17</v>
      </c>
      <c r="H525" s="11">
        <v>0</v>
      </c>
      <c r="I525" s="11" t="s">
        <v>728</v>
      </c>
      <c r="J525" s="11">
        <v>2</v>
      </c>
      <c r="K525" s="7" t="str">
        <f t="shared" si="8"/>
        <v>E451</v>
      </c>
      <c r="L525" s="8"/>
      <c r="M525" s="9" t="str">
        <f t="shared" si="9"/>
        <v>SVK1634</v>
      </c>
      <c r="N525" s="9">
        <f t="shared" si="10"/>
        <v>7</v>
      </c>
      <c r="O525" s="9" t="str">
        <f t="shared" si="11"/>
        <v>K/1SVK1634</v>
      </c>
    </row>
    <row r="526" spans="1:15" ht="17.5" x14ac:dyDescent="0.55000000000000004">
      <c r="A526" s="12" t="s">
        <v>724</v>
      </c>
      <c r="B526" s="6" t="s">
        <v>41</v>
      </c>
      <c r="C526" s="6" t="s">
        <v>191</v>
      </c>
      <c r="D526" s="12" t="s">
        <v>738</v>
      </c>
      <c r="E526" s="6" t="s">
        <v>16</v>
      </c>
      <c r="F526" s="6" t="s">
        <v>739</v>
      </c>
      <c r="G526" s="6" t="s">
        <v>740</v>
      </c>
      <c r="H526" s="6">
        <v>20</v>
      </c>
      <c r="I526" s="6" t="s">
        <v>728</v>
      </c>
      <c r="J526" s="6">
        <v>2</v>
      </c>
      <c r="K526" s="7" t="str">
        <f t="shared" si="8"/>
        <v>E451</v>
      </c>
      <c r="L526" s="8"/>
      <c r="M526" s="9" t="str">
        <f t="shared" si="9"/>
        <v>SVK1611</v>
      </c>
      <c r="N526" s="9">
        <f t="shared" si="10"/>
        <v>7</v>
      </c>
      <c r="O526" s="9" t="str">
        <f t="shared" si="11"/>
        <v>K/1SVK1611</v>
      </c>
    </row>
    <row r="527" spans="1:15" ht="17.5" x14ac:dyDescent="0.55000000000000004">
      <c r="A527" s="13" t="s">
        <v>724</v>
      </c>
      <c r="B527" s="11" t="s">
        <v>41</v>
      </c>
      <c r="C527" s="11" t="s">
        <v>423</v>
      </c>
      <c r="D527" s="13" t="s">
        <v>725</v>
      </c>
      <c r="E527" s="11" t="s">
        <v>144</v>
      </c>
      <c r="F527" s="11" t="s">
        <v>726</v>
      </c>
      <c r="G527" s="11" t="s">
        <v>727</v>
      </c>
      <c r="H527" s="11">
        <v>20</v>
      </c>
      <c r="I527" s="11" t="s">
        <v>728</v>
      </c>
      <c r="J527" s="11">
        <v>2</v>
      </c>
      <c r="K527" s="7" t="str">
        <f t="shared" si="8"/>
        <v>E451</v>
      </c>
      <c r="L527" s="8"/>
      <c r="M527" s="9" t="str">
        <f t="shared" si="9"/>
        <v>SVK1621</v>
      </c>
      <c r="N527" s="9">
        <f t="shared" si="10"/>
        <v>7</v>
      </c>
      <c r="O527" s="9" t="str">
        <f t="shared" si="11"/>
        <v>P/2SVK1621</v>
      </c>
    </row>
    <row r="528" spans="1:15" ht="17.5" x14ac:dyDescent="0.55000000000000004">
      <c r="A528" s="12" t="s">
        <v>724</v>
      </c>
      <c r="B528" s="6" t="s">
        <v>41</v>
      </c>
      <c r="C528" s="6" t="s">
        <v>49</v>
      </c>
      <c r="D528" s="12" t="s">
        <v>738</v>
      </c>
      <c r="E528" s="6" t="s">
        <v>50</v>
      </c>
      <c r="F528" s="6" t="s">
        <v>739</v>
      </c>
      <c r="G528" s="6" t="s">
        <v>741</v>
      </c>
      <c r="H528" s="6">
        <v>20</v>
      </c>
      <c r="I528" s="6" t="s">
        <v>728</v>
      </c>
      <c r="J528" s="6">
        <v>2</v>
      </c>
      <c r="K528" s="7" t="str">
        <f t="shared" si="8"/>
        <v>E451</v>
      </c>
      <c r="L528" s="8"/>
      <c r="M528" s="9" t="str">
        <f t="shared" si="9"/>
        <v>SVK1611</v>
      </c>
      <c r="N528" s="9">
        <f t="shared" si="10"/>
        <v>7</v>
      </c>
      <c r="O528" s="9" t="str">
        <f t="shared" si="11"/>
        <v>P/1SVK1611</v>
      </c>
    </row>
    <row r="529" spans="1:15" ht="17.5" x14ac:dyDescent="0.55000000000000004">
      <c r="A529" s="13" t="s">
        <v>724</v>
      </c>
      <c r="B529" s="11" t="s">
        <v>41</v>
      </c>
      <c r="C529" s="11" t="s">
        <v>138</v>
      </c>
      <c r="D529" s="13" t="s">
        <v>736</v>
      </c>
      <c r="E529" s="11" t="s">
        <v>50</v>
      </c>
      <c r="F529" s="11" t="s">
        <v>737</v>
      </c>
      <c r="G529" s="11" t="s">
        <v>17</v>
      </c>
      <c r="H529" s="11">
        <v>0</v>
      </c>
      <c r="I529" s="11" t="s">
        <v>728</v>
      </c>
      <c r="J529" s="11">
        <v>2</v>
      </c>
      <c r="K529" s="7" t="str">
        <f t="shared" si="8"/>
        <v>E451</v>
      </c>
      <c r="L529" s="8"/>
      <c r="M529" s="9" t="str">
        <f t="shared" si="9"/>
        <v>SVK1634</v>
      </c>
      <c r="N529" s="9">
        <f t="shared" si="10"/>
        <v>7</v>
      </c>
      <c r="O529" s="9" t="str">
        <f t="shared" si="11"/>
        <v>P/1SVK1634</v>
      </c>
    </row>
    <row r="530" spans="1:15" ht="17.5" x14ac:dyDescent="0.55000000000000004">
      <c r="A530" s="12" t="s">
        <v>724</v>
      </c>
      <c r="B530" s="6" t="s">
        <v>52</v>
      </c>
      <c r="C530" s="6" t="s">
        <v>14</v>
      </c>
      <c r="D530" s="12" t="s">
        <v>742</v>
      </c>
      <c r="E530" s="6" t="s">
        <v>16</v>
      </c>
      <c r="F530" s="6" t="s">
        <v>743</v>
      </c>
      <c r="G530" s="6" t="s">
        <v>731</v>
      </c>
      <c r="H530" s="6">
        <v>20</v>
      </c>
      <c r="I530" s="6" t="s">
        <v>728</v>
      </c>
      <c r="J530" s="6">
        <v>2</v>
      </c>
      <c r="K530" s="7" t="str">
        <f t="shared" si="8"/>
        <v>E451</v>
      </c>
      <c r="L530" s="8"/>
      <c r="M530" s="9" t="str">
        <f t="shared" si="9"/>
        <v>SVK1521</v>
      </c>
      <c r="N530" s="9">
        <f t="shared" si="10"/>
        <v>7</v>
      </c>
      <c r="O530" s="9" t="str">
        <f t="shared" si="11"/>
        <v>K/1SVK1521</v>
      </c>
    </row>
    <row r="531" spans="1:15" ht="17.5" x14ac:dyDescent="0.55000000000000004">
      <c r="A531" s="13" t="s">
        <v>724</v>
      </c>
      <c r="B531" s="11" t="s">
        <v>52</v>
      </c>
      <c r="C531" s="11" t="s">
        <v>90</v>
      </c>
      <c r="D531" s="13" t="s">
        <v>742</v>
      </c>
      <c r="E531" s="11" t="s">
        <v>50</v>
      </c>
      <c r="F531" s="11" t="s">
        <v>743</v>
      </c>
      <c r="G531" s="11" t="s">
        <v>731</v>
      </c>
      <c r="H531" s="11">
        <v>20</v>
      </c>
      <c r="I531" s="11" t="s">
        <v>728</v>
      </c>
      <c r="J531" s="11">
        <v>2</v>
      </c>
      <c r="K531" s="7" t="str">
        <f t="shared" si="8"/>
        <v>E451</v>
      </c>
      <c r="L531" s="8"/>
      <c r="M531" s="9" t="str">
        <f t="shared" si="9"/>
        <v>SVK1521</v>
      </c>
      <c r="N531" s="9">
        <f t="shared" si="10"/>
        <v>7</v>
      </c>
      <c r="O531" s="9" t="str">
        <f t="shared" si="11"/>
        <v>P/1SVK1521</v>
      </c>
    </row>
    <row r="532" spans="1:15" ht="17.5" x14ac:dyDescent="0.55000000000000004">
      <c r="A532" s="12" t="s">
        <v>744</v>
      </c>
      <c r="B532" s="6" t="s">
        <v>13</v>
      </c>
      <c r="C532" s="6" t="s">
        <v>745</v>
      </c>
      <c r="D532" s="12" t="s">
        <v>746</v>
      </c>
      <c r="E532" s="6" t="s">
        <v>16</v>
      </c>
      <c r="F532" s="6" t="s">
        <v>747</v>
      </c>
      <c r="G532" s="6" t="s">
        <v>748</v>
      </c>
      <c r="H532" s="6">
        <v>20</v>
      </c>
      <c r="I532" s="6" t="s">
        <v>749</v>
      </c>
      <c r="J532" s="6">
        <v>2</v>
      </c>
      <c r="K532" s="7" t="str">
        <f t="shared" si="8"/>
        <v>F151</v>
      </c>
      <c r="L532" s="8"/>
      <c r="M532" s="9" t="str">
        <f t="shared" si="9"/>
        <v>TPB1613</v>
      </c>
      <c r="N532" s="9">
        <f t="shared" si="10"/>
        <v>7</v>
      </c>
      <c r="O532" s="9" t="str">
        <f t="shared" si="11"/>
        <v>K/1TPB1613</v>
      </c>
    </row>
    <row r="533" spans="1:15" ht="17.5" x14ac:dyDescent="0.55000000000000004">
      <c r="A533" s="13" t="s">
        <v>744</v>
      </c>
      <c r="B533" s="11" t="s">
        <v>13</v>
      </c>
      <c r="C533" s="11" t="s">
        <v>750</v>
      </c>
      <c r="D533" s="13" t="s">
        <v>751</v>
      </c>
      <c r="E533" s="11" t="s">
        <v>16</v>
      </c>
      <c r="F533" s="11" t="s">
        <v>752</v>
      </c>
      <c r="G533" s="11" t="s">
        <v>748</v>
      </c>
      <c r="H533" s="11">
        <v>20</v>
      </c>
      <c r="I533" s="11" t="s">
        <v>749</v>
      </c>
      <c r="J533" s="11">
        <v>2</v>
      </c>
      <c r="K533" s="7" t="str">
        <f t="shared" si="8"/>
        <v>F151</v>
      </c>
      <c r="L533" s="8"/>
      <c r="M533" s="9" t="str">
        <f t="shared" si="9"/>
        <v>TPB1606</v>
      </c>
      <c r="N533" s="9">
        <f t="shared" si="10"/>
        <v>7</v>
      </c>
      <c r="O533" s="9" t="str">
        <f t="shared" si="11"/>
        <v>K/1TPB1606</v>
      </c>
    </row>
    <row r="534" spans="1:15" ht="17.5" x14ac:dyDescent="0.55000000000000004">
      <c r="A534" s="12" t="s">
        <v>744</v>
      </c>
      <c r="B534" s="6" t="s">
        <v>13</v>
      </c>
      <c r="C534" s="6" t="s">
        <v>750</v>
      </c>
      <c r="D534" s="12" t="s">
        <v>753</v>
      </c>
      <c r="E534" s="6" t="s">
        <v>16</v>
      </c>
      <c r="F534" s="6" t="s">
        <v>754</v>
      </c>
      <c r="G534" s="6" t="s">
        <v>17</v>
      </c>
      <c r="H534" s="6">
        <v>0</v>
      </c>
      <c r="I534" s="6" t="s">
        <v>749</v>
      </c>
      <c r="J534" s="6">
        <v>2</v>
      </c>
      <c r="K534" s="7" t="str">
        <f t="shared" si="8"/>
        <v>F151</v>
      </c>
      <c r="L534" s="8"/>
      <c r="M534" s="9" t="str">
        <f t="shared" si="9"/>
        <v>TPB1641</v>
      </c>
      <c r="N534" s="9">
        <f t="shared" si="10"/>
        <v>7</v>
      </c>
      <c r="O534" s="9" t="str">
        <f t="shared" si="11"/>
        <v>K/1TPB1641</v>
      </c>
    </row>
    <row r="535" spans="1:15" ht="17.5" x14ac:dyDescent="0.55000000000000004">
      <c r="A535" s="13" t="s">
        <v>744</v>
      </c>
      <c r="B535" s="11" t="s">
        <v>31</v>
      </c>
      <c r="C535" s="11" t="s">
        <v>745</v>
      </c>
      <c r="D535" s="13" t="s">
        <v>755</v>
      </c>
      <c r="E535" s="11" t="s">
        <v>16</v>
      </c>
      <c r="F535" s="11" t="s">
        <v>754</v>
      </c>
      <c r="G535" s="11" t="s">
        <v>17</v>
      </c>
      <c r="H535" s="11">
        <v>0</v>
      </c>
      <c r="I535" s="11" t="s">
        <v>749</v>
      </c>
      <c r="J535" s="11">
        <v>2</v>
      </c>
      <c r="K535" s="7" t="str">
        <f t="shared" si="8"/>
        <v>F151</v>
      </c>
      <c r="L535" s="8"/>
      <c r="M535" s="9" t="str">
        <f t="shared" si="9"/>
        <v>TPB1642</v>
      </c>
      <c r="N535" s="9">
        <f t="shared" si="10"/>
        <v>7</v>
      </c>
      <c r="O535" s="9" t="str">
        <f t="shared" si="11"/>
        <v>K/1TPB1642</v>
      </c>
    </row>
    <row r="536" spans="1:15" ht="17.5" x14ac:dyDescent="0.55000000000000004">
      <c r="A536" s="12" t="s">
        <v>744</v>
      </c>
      <c r="B536" s="6" t="s">
        <v>31</v>
      </c>
      <c r="C536" s="6" t="s">
        <v>221</v>
      </c>
      <c r="D536" s="12" t="s">
        <v>756</v>
      </c>
      <c r="E536" s="6" t="s">
        <v>16</v>
      </c>
      <c r="F536" s="6" t="s">
        <v>757</v>
      </c>
      <c r="G536" s="6" t="s">
        <v>748</v>
      </c>
      <c r="H536" s="6">
        <v>20</v>
      </c>
      <c r="I536" s="6" t="s">
        <v>749</v>
      </c>
      <c r="J536" s="6">
        <v>2</v>
      </c>
      <c r="K536" s="7" t="str">
        <f t="shared" si="8"/>
        <v>F151</v>
      </c>
      <c r="L536" s="8"/>
      <c r="M536" s="9" t="str">
        <f t="shared" si="9"/>
        <v>TPB1501</v>
      </c>
      <c r="N536" s="9">
        <f t="shared" si="10"/>
        <v>7</v>
      </c>
      <c r="O536" s="9" t="str">
        <f t="shared" si="11"/>
        <v>K/1TPB1501</v>
      </c>
    </row>
    <row r="537" spans="1:15" ht="17.5" x14ac:dyDescent="0.55000000000000004">
      <c r="A537" s="13" t="s">
        <v>744</v>
      </c>
      <c r="B537" s="11" t="s">
        <v>31</v>
      </c>
      <c r="C537" s="11" t="s">
        <v>758</v>
      </c>
      <c r="D537" s="13" t="s">
        <v>756</v>
      </c>
      <c r="E537" s="11" t="s">
        <v>50</v>
      </c>
      <c r="F537" s="11" t="s">
        <v>757</v>
      </c>
      <c r="G537" s="11" t="s">
        <v>748</v>
      </c>
      <c r="H537" s="11">
        <v>20</v>
      </c>
      <c r="I537" s="11" t="s">
        <v>749</v>
      </c>
      <c r="J537" s="11">
        <v>2</v>
      </c>
      <c r="K537" s="7" t="str">
        <f t="shared" si="8"/>
        <v>F151</v>
      </c>
      <c r="L537" s="8"/>
      <c r="M537" s="9" t="str">
        <f t="shared" si="9"/>
        <v>TPB1501</v>
      </c>
      <c r="N537" s="9">
        <f t="shared" si="10"/>
        <v>7</v>
      </c>
      <c r="O537" s="9" t="str">
        <f t="shared" si="11"/>
        <v>P/1TPB1501</v>
      </c>
    </row>
    <row r="538" spans="1:15" ht="17.5" x14ac:dyDescent="0.55000000000000004">
      <c r="A538" s="12" t="s">
        <v>744</v>
      </c>
      <c r="B538" s="6" t="s">
        <v>41</v>
      </c>
      <c r="C538" s="6" t="s">
        <v>745</v>
      </c>
      <c r="D538" s="12" t="s">
        <v>759</v>
      </c>
      <c r="E538" s="6" t="s">
        <v>16</v>
      </c>
      <c r="F538" s="6" t="s">
        <v>760</v>
      </c>
      <c r="G538" s="6" t="s">
        <v>17</v>
      </c>
      <c r="H538" s="6">
        <v>0</v>
      </c>
      <c r="I538" s="6" t="s">
        <v>749</v>
      </c>
      <c r="J538" s="6">
        <v>2</v>
      </c>
      <c r="K538" s="7" t="str">
        <f t="shared" si="8"/>
        <v>F151</v>
      </c>
      <c r="L538" s="8"/>
      <c r="M538" s="9" t="str">
        <f t="shared" si="9"/>
        <v>TPB1614</v>
      </c>
      <c r="N538" s="9">
        <f t="shared" si="10"/>
        <v>7</v>
      </c>
      <c r="O538" s="9" t="str">
        <f t="shared" si="11"/>
        <v>K/1TPB1614</v>
      </c>
    </row>
    <row r="539" spans="1:15" ht="17.5" x14ac:dyDescent="0.55000000000000004">
      <c r="A539" s="13" t="s">
        <v>744</v>
      </c>
      <c r="B539" s="11" t="s">
        <v>41</v>
      </c>
      <c r="C539" s="11" t="s">
        <v>25</v>
      </c>
      <c r="D539" s="13" t="s">
        <v>761</v>
      </c>
      <c r="E539" s="11" t="s">
        <v>16</v>
      </c>
      <c r="F539" s="11" t="s">
        <v>762</v>
      </c>
      <c r="G539" s="11" t="s">
        <v>748</v>
      </c>
      <c r="H539" s="11">
        <v>20</v>
      </c>
      <c r="I539" s="11" t="s">
        <v>749</v>
      </c>
      <c r="J539" s="11">
        <v>2</v>
      </c>
      <c r="K539" s="7" t="str">
        <f t="shared" si="8"/>
        <v>F151</v>
      </c>
      <c r="L539" s="8"/>
      <c r="M539" s="9" t="str">
        <f t="shared" si="9"/>
        <v>TPB1623</v>
      </c>
      <c r="N539" s="9">
        <f t="shared" si="10"/>
        <v>7</v>
      </c>
      <c r="O539" s="9" t="str">
        <f t="shared" si="11"/>
        <v>K/1TPB1623</v>
      </c>
    </row>
    <row r="540" spans="1:15" ht="17.5" x14ac:dyDescent="0.55000000000000004">
      <c r="A540" s="12" t="s">
        <v>744</v>
      </c>
      <c r="B540" s="6" t="s">
        <v>41</v>
      </c>
      <c r="C540" s="6" t="s">
        <v>763</v>
      </c>
      <c r="D540" s="12" t="s">
        <v>764</v>
      </c>
      <c r="E540" s="6" t="s">
        <v>16</v>
      </c>
      <c r="F540" s="6" t="s">
        <v>754</v>
      </c>
      <c r="G540" s="6" t="s">
        <v>17</v>
      </c>
      <c r="H540" s="6">
        <v>0</v>
      </c>
      <c r="I540" s="6" t="s">
        <v>749</v>
      </c>
      <c r="J540" s="6">
        <v>2</v>
      </c>
      <c r="K540" s="7" t="str">
        <f t="shared" si="8"/>
        <v>F151</v>
      </c>
      <c r="L540" s="8"/>
      <c r="M540" s="9" t="str">
        <f t="shared" si="9"/>
        <v>TPB1621</v>
      </c>
      <c r="N540" s="9">
        <f t="shared" si="10"/>
        <v>7</v>
      </c>
      <c r="O540" s="9" t="str">
        <f t="shared" si="11"/>
        <v>K/1TPB1621</v>
      </c>
    </row>
    <row r="541" spans="1:15" ht="17.5" x14ac:dyDescent="0.55000000000000004">
      <c r="A541" s="13" t="s">
        <v>744</v>
      </c>
      <c r="B541" s="11" t="s">
        <v>41</v>
      </c>
      <c r="C541" s="11" t="s">
        <v>101</v>
      </c>
      <c r="D541" s="13" t="s">
        <v>765</v>
      </c>
      <c r="E541" s="11" t="s">
        <v>16</v>
      </c>
      <c r="F541" s="11" t="s">
        <v>766</v>
      </c>
      <c r="G541" s="11" t="s">
        <v>17</v>
      </c>
      <c r="H541" s="11">
        <v>0</v>
      </c>
      <c r="I541" s="11" t="s">
        <v>749</v>
      </c>
      <c r="J541" s="11">
        <v>2</v>
      </c>
      <c r="K541" s="7" t="str">
        <f t="shared" si="8"/>
        <v>F151</v>
      </c>
      <c r="L541" s="8"/>
      <c r="M541" s="9" t="str">
        <f t="shared" si="9"/>
        <v>TPB1611</v>
      </c>
      <c r="N541" s="9">
        <f t="shared" si="10"/>
        <v>7</v>
      </c>
      <c r="O541" s="9" t="str">
        <f t="shared" si="11"/>
        <v>K/1TPB1611</v>
      </c>
    </row>
    <row r="542" spans="1:15" ht="17.5" x14ac:dyDescent="0.55000000000000004">
      <c r="A542" s="12" t="s">
        <v>744</v>
      </c>
      <c r="B542" s="6" t="s">
        <v>41</v>
      </c>
      <c r="C542" s="6" t="s">
        <v>767</v>
      </c>
      <c r="D542" s="12" t="s">
        <v>768</v>
      </c>
      <c r="E542" s="6" t="s">
        <v>16</v>
      </c>
      <c r="F542" s="6" t="s">
        <v>769</v>
      </c>
      <c r="G542" s="6" t="s">
        <v>17</v>
      </c>
      <c r="H542" s="6">
        <v>0</v>
      </c>
      <c r="I542" s="6" t="s">
        <v>749</v>
      </c>
      <c r="J542" s="6">
        <v>2</v>
      </c>
      <c r="K542" s="7" t="str">
        <f t="shared" si="8"/>
        <v>F151</v>
      </c>
      <c r="L542" s="8"/>
      <c r="M542" s="9" t="str">
        <f t="shared" si="9"/>
        <v>TPB1612</v>
      </c>
      <c r="N542" s="9">
        <f t="shared" si="10"/>
        <v>7</v>
      </c>
      <c r="O542" s="9" t="str">
        <f t="shared" si="11"/>
        <v>K/1TPB1612</v>
      </c>
    </row>
    <row r="543" spans="1:15" ht="17.5" x14ac:dyDescent="0.55000000000000004">
      <c r="A543" s="13" t="s">
        <v>744</v>
      </c>
      <c r="B543" s="11" t="s">
        <v>47</v>
      </c>
      <c r="C543" s="11" t="s">
        <v>745</v>
      </c>
      <c r="D543" s="13" t="s">
        <v>770</v>
      </c>
      <c r="E543" s="11" t="s">
        <v>16</v>
      </c>
      <c r="F543" s="11" t="s">
        <v>771</v>
      </c>
      <c r="G543" s="11" t="s">
        <v>17</v>
      </c>
      <c r="H543" s="11">
        <v>0</v>
      </c>
      <c r="I543" s="11" t="s">
        <v>749</v>
      </c>
      <c r="J543" s="11">
        <v>2</v>
      </c>
      <c r="K543" s="7" t="str">
        <f t="shared" si="8"/>
        <v>F151</v>
      </c>
      <c r="L543" s="8"/>
      <c r="M543" s="9" t="str">
        <f t="shared" si="9"/>
        <v>TPB1631</v>
      </c>
      <c r="N543" s="9">
        <f t="shared" si="10"/>
        <v>7</v>
      </c>
      <c r="O543" s="9" t="str">
        <f t="shared" si="11"/>
        <v>K/1TPB1631</v>
      </c>
    </row>
    <row r="544" spans="1:15" ht="17.5" x14ac:dyDescent="0.55000000000000004">
      <c r="A544" s="12" t="s">
        <v>744</v>
      </c>
      <c r="B544" s="6" t="s">
        <v>47</v>
      </c>
      <c r="C544" s="6" t="s">
        <v>745</v>
      </c>
      <c r="D544" s="12" t="s">
        <v>772</v>
      </c>
      <c r="E544" s="6" t="s">
        <v>16</v>
      </c>
      <c r="F544" s="6" t="s">
        <v>752</v>
      </c>
      <c r="G544" s="6" t="s">
        <v>17</v>
      </c>
      <c r="H544" s="6">
        <v>0</v>
      </c>
      <c r="I544" s="6" t="s">
        <v>749</v>
      </c>
      <c r="J544" s="6">
        <v>2</v>
      </c>
      <c r="K544" s="7" t="str">
        <f t="shared" si="8"/>
        <v>F151</v>
      </c>
      <c r="L544" s="8"/>
      <c r="M544" s="9" t="str">
        <f t="shared" si="9"/>
        <v>TPB1643</v>
      </c>
      <c r="N544" s="9">
        <f t="shared" si="10"/>
        <v>7</v>
      </c>
      <c r="O544" s="9" t="str">
        <f t="shared" si="11"/>
        <v>K/1TPB1643</v>
      </c>
    </row>
    <row r="545" spans="1:15" ht="17.5" x14ac:dyDescent="0.55000000000000004">
      <c r="A545" s="13" t="s">
        <v>744</v>
      </c>
      <c r="B545" s="11" t="s">
        <v>47</v>
      </c>
      <c r="C545" s="11" t="s">
        <v>750</v>
      </c>
      <c r="D545" s="13" t="s">
        <v>773</v>
      </c>
      <c r="E545" s="11" t="s">
        <v>16</v>
      </c>
      <c r="F545" s="11" t="s">
        <v>774</v>
      </c>
      <c r="G545" s="11" t="s">
        <v>748</v>
      </c>
      <c r="H545" s="11">
        <v>20</v>
      </c>
      <c r="I545" s="11" t="s">
        <v>749</v>
      </c>
      <c r="J545" s="11">
        <v>2</v>
      </c>
      <c r="K545" s="7" t="str">
        <f t="shared" si="8"/>
        <v>F151</v>
      </c>
      <c r="L545" s="8"/>
      <c r="M545" s="9" t="str">
        <f t="shared" si="9"/>
        <v>TPB1605</v>
      </c>
      <c r="N545" s="9">
        <f t="shared" si="10"/>
        <v>7</v>
      </c>
      <c r="O545" s="9" t="str">
        <f t="shared" si="11"/>
        <v>K/1TPB1605</v>
      </c>
    </row>
    <row r="546" spans="1:15" ht="17.5" x14ac:dyDescent="0.55000000000000004">
      <c r="A546" s="12" t="s">
        <v>744</v>
      </c>
      <c r="B546" s="6" t="s">
        <v>47</v>
      </c>
      <c r="C546" s="6" t="s">
        <v>49</v>
      </c>
      <c r="D546" s="12" t="s">
        <v>775</v>
      </c>
      <c r="E546" s="6" t="s">
        <v>50</v>
      </c>
      <c r="F546" s="6" t="s">
        <v>776</v>
      </c>
      <c r="G546" s="6" t="s">
        <v>748</v>
      </c>
      <c r="H546" s="6">
        <v>20</v>
      </c>
      <c r="I546" s="6" t="s">
        <v>749</v>
      </c>
      <c r="J546" s="6">
        <v>2</v>
      </c>
      <c r="K546" s="7" t="str">
        <f t="shared" si="8"/>
        <v>F151</v>
      </c>
      <c r="L546" s="8"/>
      <c r="M546" s="9" t="str">
        <f t="shared" si="9"/>
        <v>TPB1602</v>
      </c>
      <c r="N546" s="9">
        <f t="shared" si="10"/>
        <v>7</v>
      </c>
      <c r="O546" s="9" t="str">
        <f t="shared" si="11"/>
        <v>P/1TPB1602</v>
      </c>
    </row>
    <row r="547" spans="1:15" ht="17.5" x14ac:dyDescent="0.55000000000000004">
      <c r="A547" s="13" t="s">
        <v>744</v>
      </c>
      <c r="B547" s="11" t="s">
        <v>52</v>
      </c>
      <c r="C547" s="11" t="s">
        <v>745</v>
      </c>
      <c r="D547" s="13" t="s">
        <v>777</v>
      </c>
      <c r="E547" s="11" t="s">
        <v>16</v>
      </c>
      <c r="F547" s="11" t="s">
        <v>778</v>
      </c>
      <c r="G547" s="11" t="s">
        <v>748</v>
      </c>
      <c r="H547" s="11">
        <v>20</v>
      </c>
      <c r="I547" s="11" t="s">
        <v>749</v>
      </c>
      <c r="J547" s="11">
        <v>2</v>
      </c>
      <c r="K547" s="7" t="str">
        <f t="shared" si="8"/>
        <v>F151</v>
      </c>
      <c r="L547" s="8"/>
      <c r="M547" s="9" t="str">
        <f t="shared" si="9"/>
        <v>TPB1632</v>
      </c>
      <c r="N547" s="9">
        <f t="shared" si="10"/>
        <v>7</v>
      </c>
      <c r="O547" s="9" t="str">
        <f t="shared" si="11"/>
        <v>K/1TPB1632</v>
      </c>
    </row>
    <row r="548" spans="1:15" ht="17.5" x14ac:dyDescent="0.55000000000000004">
      <c r="A548" s="12" t="s">
        <v>744</v>
      </c>
      <c r="B548" s="6" t="s">
        <v>52</v>
      </c>
      <c r="C548" s="6" t="s">
        <v>779</v>
      </c>
      <c r="D548" s="12" t="s">
        <v>780</v>
      </c>
      <c r="E548" s="6" t="s">
        <v>16</v>
      </c>
      <c r="F548" s="6" t="s">
        <v>760</v>
      </c>
      <c r="G548" s="6" t="s">
        <v>17</v>
      </c>
      <c r="H548" s="6">
        <v>0</v>
      </c>
      <c r="I548" s="6" t="s">
        <v>749</v>
      </c>
      <c r="J548" s="6">
        <v>2</v>
      </c>
      <c r="K548" s="7" t="str">
        <f t="shared" si="8"/>
        <v>F151</v>
      </c>
      <c r="L548" s="8"/>
      <c r="M548" s="9" t="str">
        <f t="shared" si="9"/>
        <v>TPB1617</v>
      </c>
      <c r="N548" s="9">
        <f t="shared" si="10"/>
        <v>7</v>
      </c>
      <c r="O548" s="9" t="str">
        <f t="shared" si="11"/>
        <v>K/1TPB1617</v>
      </c>
    </row>
    <row r="549" spans="1:15" ht="17.5" x14ac:dyDescent="0.55000000000000004">
      <c r="A549" s="13" t="s">
        <v>744</v>
      </c>
      <c r="B549" s="11" t="s">
        <v>52</v>
      </c>
      <c r="C549" s="11" t="s">
        <v>763</v>
      </c>
      <c r="D549" s="13" t="s">
        <v>781</v>
      </c>
      <c r="E549" s="11" t="s">
        <v>16</v>
      </c>
      <c r="F549" s="11" t="s">
        <v>774</v>
      </c>
      <c r="G549" s="11" t="s">
        <v>17</v>
      </c>
      <c r="H549" s="11">
        <v>0</v>
      </c>
      <c r="I549" s="11" t="s">
        <v>749</v>
      </c>
      <c r="J549" s="11">
        <v>2</v>
      </c>
      <c r="K549" s="7" t="str">
        <f t="shared" si="8"/>
        <v>F151</v>
      </c>
      <c r="L549" s="8"/>
      <c r="M549" s="9" t="str">
        <f t="shared" si="9"/>
        <v>TPB1633</v>
      </c>
      <c r="N549" s="9">
        <f t="shared" si="10"/>
        <v>7</v>
      </c>
      <c r="O549" s="9" t="str">
        <f t="shared" si="11"/>
        <v>K/1TPB1633</v>
      </c>
    </row>
    <row r="550" spans="1:15" ht="17.5" x14ac:dyDescent="0.55000000000000004">
      <c r="A550" s="5" t="s">
        <v>782</v>
      </c>
      <c r="B550" s="5" t="s">
        <v>13</v>
      </c>
      <c r="C550" s="5" t="s">
        <v>745</v>
      </c>
      <c r="D550" s="5" t="s">
        <v>783</v>
      </c>
      <c r="E550" s="6" t="s">
        <v>16</v>
      </c>
      <c r="F550" s="5" t="s">
        <v>784</v>
      </c>
      <c r="G550" s="5" t="s">
        <v>17</v>
      </c>
      <c r="H550" s="6">
        <v>0</v>
      </c>
      <c r="I550" s="5" t="s">
        <v>785</v>
      </c>
      <c r="J550" s="6">
        <v>2</v>
      </c>
      <c r="K550" s="7" t="str">
        <f t="shared" si="8"/>
        <v>F152</v>
      </c>
      <c r="L550" s="8"/>
      <c r="M550" s="9" t="str">
        <f t="shared" si="9"/>
        <v>TPP1625</v>
      </c>
      <c r="N550" s="9">
        <f t="shared" si="10"/>
        <v>7</v>
      </c>
      <c r="O550" s="9" t="str">
        <f t="shared" si="11"/>
        <v>K/1TPP1625</v>
      </c>
    </row>
    <row r="551" spans="1:15" ht="17.5" x14ac:dyDescent="0.55000000000000004">
      <c r="A551" s="10" t="s">
        <v>782</v>
      </c>
      <c r="B551" s="10" t="s">
        <v>13</v>
      </c>
      <c r="C551" s="10" t="s">
        <v>750</v>
      </c>
      <c r="D551" s="10" t="s">
        <v>786</v>
      </c>
      <c r="E551" s="11" t="s">
        <v>16</v>
      </c>
      <c r="F551" s="10" t="s">
        <v>762</v>
      </c>
      <c r="G551" s="10" t="s">
        <v>17</v>
      </c>
      <c r="H551" s="11">
        <v>0</v>
      </c>
      <c r="I551" s="10" t="s">
        <v>785</v>
      </c>
      <c r="J551" s="11">
        <v>2</v>
      </c>
      <c r="K551" s="7" t="str">
        <f t="shared" si="8"/>
        <v>F152</v>
      </c>
      <c r="L551" s="8"/>
      <c r="M551" s="9" t="str">
        <f t="shared" si="9"/>
        <v>TPP1626</v>
      </c>
      <c r="N551" s="9">
        <f t="shared" si="10"/>
        <v>7</v>
      </c>
      <c r="O551" s="9" t="str">
        <f t="shared" si="11"/>
        <v>K/1TPP1626</v>
      </c>
    </row>
    <row r="552" spans="1:15" ht="17.5" x14ac:dyDescent="0.55000000000000004">
      <c r="A552" s="5" t="s">
        <v>782</v>
      </c>
      <c r="B552" s="5" t="s">
        <v>13</v>
      </c>
      <c r="C552" s="5" t="s">
        <v>763</v>
      </c>
      <c r="D552" s="5" t="s">
        <v>787</v>
      </c>
      <c r="E552" s="6" t="s">
        <v>16</v>
      </c>
      <c r="F552" s="5" t="s">
        <v>774</v>
      </c>
      <c r="G552" s="5" t="s">
        <v>788</v>
      </c>
      <c r="H552" s="6">
        <v>20</v>
      </c>
      <c r="I552" s="5" t="s">
        <v>785</v>
      </c>
      <c r="J552" s="6">
        <v>2</v>
      </c>
      <c r="K552" s="7" t="str">
        <f t="shared" si="8"/>
        <v>F152</v>
      </c>
      <c r="L552" s="8"/>
      <c r="M552" s="9" t="str">
        <f t="shared" si="9"/>
        <v>TPP1531</v>
      </c>
      <c r="N552" s="9">
        <f t="shared" si="10"/>
        <v>7</v>
      </c>
      <c r="O552" s="9" t="str">
        <f t="shared" si="11"/>
        <v>K/1TPP1531</v>
      </c>
    </row>
    <row r="553" spans="1:15" ht="17.5" x14ac:dyDescent="0.55000000000000004">
      <c r="A553" s="10" t="s">
        <v>782</v>
      </c>
      <c r="B553" s="10" t="s">
        <v>31</v>
      </c>
      <c r="C553" s="10" t="s">
        <v>745</v>
      </c>
      <c r="D553" s="10" t="s">
        <v>789</v>
      </c>
      <c r="E553" s="11" t="s">
        <v>16</v>
      </c>
      <c r="F553" s="10" t="s">
        <v>790</v>
      </c>
      <c r="G553" s="10" t="s">
        <v>788</v>
      </c>
      <c r="H553" s="11">
        <v>20</v>
      </c>
      <c r="I553" s="10" t="s">
        <v>785</v>
      </c>
      <c r="J553" s="11">
        <v>2</v>
      </c>
      <c r="K553" s="7" t="str">
        <f t="shared" si="8"/>
        <v>F152</v>
      </c>
      <c r="L553" s="8"/>
      <c r="M553" s="9" t="str">
        <f t="shared" si="9"/>
        <v>TPP1522</v>
      </c>
      <c r="N553" s="9">
        <f t="shared" si="10"/>
        <v>7</v>
      </c>
      <c r="O553" s="9" t="str">
        <f t="shared" si="11"/>
        <v>K/1TPP1522</v>
      </c>
    </row>
    <row r="554" spans="1:15" ht="17.5" x14ac:dyDescent="0.55000000000000004">
      <c r="A554" s="5" t="s">
        <v>782</v>
      </c>
      <c r="B554" s="5" t="s">
        <v>31</v>
      </c>
      <c r="C554" s="5" t="s">
        <v>750</v>
      </c>
      <c r="D554" s="5" t="s">
        <v>791</v>
      </c>
      <c r="E554" s="6" t="s">
        <v>16</v>
      </c>
      <c r="F554" s="5" t="s">
        <v>790</v>
      </c>
      <c r="G554" s="5" t="s">
        <v>788</v>
      </c>
      <c r="H554" s="6">
        <v>20</v>
      </c>
      <c r="I554" s="5" t="s">
        <v>785</v>
      </c>
      <c r="J554" s="6">
        <v>2</v>
      </c>
      <c r="K554" s="7" t="str">
        <f t="shared" si="8"/>
        <v>F152</v>
      </c>
      <c r="L554" s="8"/>
      <c r="M554" s="9" t="str">
        <f t="shared" si="9"/>
        <v>TPP1622</v>
      </c>
      <c r="N554" s="9">
        <f t="shared" si="10"/>
        <v>7</v>
      </c>
      <c r="O554" s="9" t="str">
        <f t="shared" si="11"/>
        <v>K/1TPP1622</v>
      </c>
    </row>
    <row r="555" spans="1:15" ht="17.5" x14ac:dyDescent="0.55000000000000004">
      <c r="A555" s="10" t="s">
        <v>782</v>
      </c>
      <c r="B555" s="10" t="s">
        <v>41</v>
      </c>
      <c r="C555" s="10" t="s">
        <v>745</v>
      </c>
      <c r="D555" s="10" t="s">
        <v>792</v>
      </c>
      <c r="E555" s="11" t="s">
        <v>16</v>
      </c>
      <c r="F555" s="10" t="s">
        <v>793</v>
      </c>
      <c r="G555" s="10" t="s">
        <v>788</v>
      </c>
      <c r="H555" s="11">
        <v>20</v>
      </c>
      <c r="I555" s="10" t="s">
        <v>785</v>
      </c>
      <c r="J555" s="11">
        <v>2</v>
      </c>
      <c r="K555" s="7" t="str">
        <f t="shared" si="8"/>
        <v>F152</v>
      </c>
      <c r="L555" s="8"/>
      <c r="M555" s="9" t="str">
        <f t="shared" si="9"/>
        <v>TPP1523</v>
      </c>
      <c r="N555" s="9">
        <f t="shared" si="10"/>
        <v>7</v>
      </c>
      <c r="O555" s="9" t="str">
        <f t="shared" si="11"/>
        <v>K/1TPP1523</v>
      </c>
    </row>
    <row r="556" spans="1:15" ht="17.5" x14ac:dyDescent="0.55000000000000004">
      <c r="A556" s="5" t="s">
        <v>782</v>
      </c>
      <c r="B556" s="5" t="s">
        <v>41</v>
      </c>
      <c r="C556" s="5" t="s">
        <v>750</v>
      </c>
      <c r="D556" s="5" t="s">
        <v>794</v>
      </c>
      <c r="E556" s="6" t="s">
        <v>16</v>
      </c>
      <c r="F556" s="5" t="s">
        <v>790</v>
      </c>
      <c r="G556" s="5" t="s">
        <v>788</v>
      </c>
      <c r="H556" s="6">
        <v>20</v>
      </c>
      <c r="I556" s="5" t="s">
        <v>785</v>
      </c>
      <c r="J556" s="6">
        <v>2</v>
      </c>
      <c r="K556" s="7" t="str">
        <f t="shared" si="8"/>
        <v>F152</v>
      </c>
      <c r="L556" s="8"/>
      <c r="M556" s="9" t="str">
        <f t="shared" si="9"/>
        <v>TPP1624</v>
      </c>
      <c r="N556" s="9">
        <f t="shared" si="10"/>
        <v>7</v>
      </c>
      <c r="O556" s="9" t="str">
        <f t="shared" si="11"/>
        <v>K/1TPP1624</v>
      </c>
    </row>
    <row r="557" spans="1:15" ht="17.5" x14ac:dyDescent="0.55000000000000004">
      <c r="A557" s="10" t="s">
        <v>782</v>
      </c>
      <c r="B557" s="10" t="s">
        <v>41</v>
      </c>
      <c r="C557" s="10" t="s">
        <v>763</v>
      </c>
      <c r="D557" s="10" t="s">
        <v>795</v>
      </c>
      <c r="E557" s="11" t="s">
        <v>16</v>
      </c>
      <c r="F557" s="10" t="s">
        <v>796</v>
      </c>
      <c r="G557" s="10" t="s">
        <v>17</v>
      </c>
      <c r="H557" s="11">
        <v>0</v>
      </c>
      <c r="I557" s="10" t="s">
        <v>785</v>
      </c>
      <c r="J557" s="11">
        <v>2</v>
      </c>
      <c r="K557" s="7" t="str">
        <f t="shared" si="8"/>
        <v>F152</v>
      </c>
      <c r="L557" s="8"/>
      <c r="M557" s="9" t="str">
        <f t="shared" si="9"/>
        <v>TPP1629</v>
      </c>
      <c r="N557" s="9">
        <f t="shared" si="10"/>
        <v>7</v>
      </c>
      <c r="O557" s="9" t="str">
        <f t="shared" si="11"/>
        <v>K/1TPP1629</v>
      </c>
    </row>
    <row r="558" spans="1:15" ht="17.5" x14ac:dyDescent="0.55000000000000004">
      <c r="A558" s="5" t="s">
        <v>782</v>
      </c>
      <c r="B558" s="5" t="s">
        <v>47</v>
      </c>
      <c r="C558" s="5" t="s">
        <v>797</v>
      </c>
      <c r="D558" s="5" t="s">
        <v>798</v>
      </c>
      <c r="E558" s="6" t="s">
        <v>50</v>
      </c>
      <c r="F558" s="5" t="s">
        <v>799</v>
      </c>
      <c r="G558" s="5" t="s">
        <v>788</v>
      </c>
      <c r="H558" s="6">
        <v>20</v>
      </c>
      <c r="I558" s="5" t="s">
        <v>785</v>
      </c>
      <c r="J558" s="6">
        <v>2</v>
      </c>
      <c r="K558" s="7" t="str">
        <f t="shared" si="8"/>
        <v>F152</v>
      </c>
      <c r="L558" s="8"/>
      <c r="M558" s="9" t="str">
        <f t="shared" si="9"/>
        <v>TPP1524</v>
      </c>
      <c r="N558" s="9">
        <f t="shared" si="10"/>
        <v>7</v>
      </c>
      <c r="O558" s="9" t="str">
        <f t="shared" si="11"/>
        <v>P/1TPP1524</v>
      </c>
    </row>
    <row r="559" spans="1:15" ht="17.5" x14ac:dyDescent="0.55000000000000004">
      <c r="A559" s="10" t="s">
        <v>782</v>
      </c>
      <c r="B559" s="10" t="s">
        <v>47</v>
      </c>
      <c r="C559" s="10" t="s">
        <v>750</v>
      </c>
      <c r="D559" s="10" t="s">
        <v>800</v>
      </c>
      <c r="E559" s="11" t="s">
        <v>16</v>
      </c>
      <c r="F559" s="10" t="s">
        <v>799</v>
      </c>
      <c r="G559" s="10" t="s">
        <v>17</v>
      </c>
      <c r="H559" s="11">
        <v>0</v>
      </c>
      <c r="I559" s="10" t="s">
        <v>785</v>
      </c>
      <c r="J559" s="11">
        <v>2</v>
      </c>
      <c r="K559" s="7" t="str">
        <f t="shared" si="8"/>
        <v>F152</v>
      </c>
      <c r="L559" s="8"/>
      <c r="M559" s="9" t="str">
        <f t="shared" si="9"/>
        <v>TPP1627</v>
      </c>
      <c r="N559" s="9">
        <f t="shared" si="10"/>
        <v>7</v>
      </c>
      <c r="O559" s="9" t="str">
        <f t="shared" si="11"/>
        <v>K/1TPP1627</v>
      </c>
    </row>
    <row r="560" spans="1:15" ht="17.5" x14ac:dyDescent="0.55000000000000004">
      <c r="A560" s="5" t="s">
        <v>782</v>
      </c>
      <c r="B560" s="5" t="s">
        <v>52</v>
      </c>
      <c r="C560" s="5" t="s">
        <v>745</v>
      </c>
      <c r="D560" s="5" t="s">
        <v>801</v>
      </c>
      <c r="E560" s="6" t="s">
        <v>16</v>
      </c>
      <c r="F560" s="5" t="s">
        <v>762</v>
      </c>
      <c r="G560" s="5" t="s">
        <v>17</v>
      </c>
      <c r="H560" s="6">
        <v>0</v>
      </c>
      <c r="I560" s="5" t="s">
        <v>785</v>
      </c>
      <c r="J560" s="6">
        <v>2</v>
      </c>
      <c r="K560" s="7" t="str">
        <f t="shared" si="8"/>
        <v>F152</v>
      </c>
      <c r="L560" s="8"/>
      <c r="M560" s="9" t="str">
        <f t="shared" si="9"/>
        <v>TPP1621</v>
      </c>
      <c r="N560" s="9">
        <f t="shared" si="10"/>
        <v>7</v>
      </c>
      <c r="O560" s="9" t="str">
        <f t="shared" si="11"/>
        <v>K/1TPP1621</v>
      </c>
    </row>
    <row r="561" spans="1:15" ht="17.5" x14ac:dyDescent="0.55000000000000004">
      <c r="A561" s="10" t="s">
        <v>782</v>
      </c>
      <c r="B561" s="10" t="s">
        <v>52</v>
      </c>
      <c r="C561" s="10" t="s">
        <v>763</v>
      </c>
      <c r="D561" s="10" t="s">
        <v>802</v>
      </c>
      <c r="E561" s="11" t="s">
        <v>16</v>
      </c>
      <c r="F561" s="10" t="s">
        <v>793</v>
      </c>
      <c r="G561" s="10" t="s">
        <v>17</v>
      </c>
      <c r="H561" s="11">
        <v>0</v>
      </c>
      <c r="I561" s="10" t="s">
        <v>785</v>
      </c>
      <c r="J561" s="11">
        <v>2</v>
      </c>
      <c r="K561" s="7" t="str">
        <f t="shared" si="8"/>
        <v>F152</v>
      </c>
      <c r="L561" s="8"/>
      <c r="M561" s="9" t="str">
        <f t="shared" si="9"/>
        <v>TPP1628</v>
      </c>
      <c r="N561" s="9">
        <f t="shared" si="10"/>
        <v>7</v>
      </c>
      <c r="O561" s="9" t="str">
        <f t="shared" si="11"/>
        <v>K/1TPP1628</v>
      </c>
    </row>
    <row r="562" spans="1:15" ht="17.5" x14ac:dyDescent="0.55000000000000004">
      <c r="A562" s="12" t="s">
        <v>803</v>
      </c>
      <c r="B562" s="6" t="s">
        <v>13</v>
      </c>
      <c r="C562" s="6" t="s">
        <v>25</v>
      </c>
      <c r="D562" s="12" t="s">
        <v>804</v>
      </c>
      <c r="E562" s="6" t="s">
        <v>16</v>
      </c>
      <c r="F562" s="6" t="s">
        <v>805</v>
      </c>
      <c r="G562" s="6" t="s">
        <v>806</v>
      </c>
      <c r="H562" s="6">
        <v>20</v>
      </c>
      <c r="I562" s="6" t="s">
        <v>807</v>
      </c>
      <c r="J562" s="6">
        <v>2</v>
      </c>
      <c r="K562" s="7" t="str">
        <f t="shared" si="8"/>
        <v>F251</v>
      </c>
      <c r="L562" s="8"/>
      <c r="M562" s="9" t="str">
        <f t="shared" si="9"/>
        <v>IPN1612</v>
      </c>
      <c r="N562" s="9">
        <f t="shared" si="10"/>
        <v>7</v>
      </c>
      <c r="O562" s="9" t="str">
        <f t="shared" si="11"/>
        <v>K/1IPN1612</v>
      </c>
    </row>
    <row r="563" spans="1:15" ht="17.5" x14ac:dyDescent="0.55000000000000004">
      <c r="A563" s="13" t="s">
        <v>803</v>
      </c>
      <c r="B563" s="11" t="s">
        <v>13</v>
      </c>
      <c r="C563" s="11" t="s">
        <v>25</v>
      </c>
      <c r="D563" s="13" t="s">
        <v>808</v>
      </c>
      <c r="E563" s="11" t="s">
        <v>16</v>
      </c>
      <c r="F563" s="11" t="s">
        <v>809</v>
      </c>
      <c r="G563" s="11" t="s">
        <v>810</v>
      </c>
      <c r="H563" s="11">
        <v>30</v>
      </c>
      <c r="I563" s="11" t="s">
        <v>807</v>
      </c>
      <c r="J563" s="11">
        <v>2</v>
      </c>
      <c r="K563" s="7" t="str">
        <f t="shared" si="8"/>
        <v>F251</v>
      </c>
      <c r="L563" s="8"/>
      <c r="M563" s="9" t="str">
        <f t="shared" si="9"/>
        <v>IPN1621</v>
      </c>
      <c r="N563" s="9">
        <f t="shared" si="10"/>
        <v>7</v>
      </c>
      <c r="O563" s="9" t="str">
        <f t="shared" si="11"/>
        <v>K/1IPN1621</v>
      </c>
    </row>
    <row r="564" spans="1:15" ht="17.5" x14ac:dyDescent="0.55000000000000004">
      <c r="A564" s="12" t="s">
        <v>803</v>
      </c>
      <c r="B564" s="6" t="s">
        <v>13</v>
      </c>
      <c r="C564" s="6" t="s">
        <v>64</v>
      </c>
      <c r="D564" s="12" t="s">
        <v>811</v>
      </c>
      <c r="E564" s="6" t="s">
        <v>16</v>
      </c>
      <c r="F564" s="6" t="s">
        <v>812</v>
      </c>
      <c r="G564" s="6" t="s">
        <v>17</v>
      </c>
      <c r="H564" s="6">
        <v>0</v>
      </c>
      <c r="I564" s="6" t="s">
        <v>807</v>
      </c>
      <c r="J564" s="6">
        <v>2</v>
      </c>
      <c r="K564" s="7" t="str">
        <f t="shared" si="8"/>
        <v>F251</v>
      </c>
      <c r="L564" s="8"/>
      <c r="M564" s="9" t="str">
        <f t="shared" si="9"/>
        <v>IPN1613</v>
      </c>
      <c r="N564" s="9">
        <f t="shared" si="10"/>
        <v>7</v>
      </c>
      <c r="O564" s="9" t="str">
        <f t="shared" si="11"/>
        <v>K/1IPN1613</v>
      </c>
    </row>
    <row r="565" spans="1:15" ht="17.5" x14ac:dyDescent="0.55000000000000004">
      <c r="A565" s="13" t="s">
        <v>803</v>
      </c>
      <c r="B565" s="11" t="s">
        <v>31</v>
      </c>
      <c r="C565" s="11" t="s">
        <v>14</v>
      </c>
      <c r="D565" s="13" t="s">
        <v>813</v>
      </c>
      <c r="E565" s="11" t="s">
        <v>16</v>
      </c>
      <c r="F565" s="11" t="s">
        <v>814</v>
      </c>
      <c r="G565" s="11" t="s">
        <v>810</v>
      </c>
      <c r="H565" s="11">
        <v>30</v>
      </c>
      <c r="I565" s="11" t="s">
        <v>807</v>
      </c>
      <c r="J565" s="11">
        <v>2</v>
      </c>
      <c r="K565" s="7" t="str">
        <f t="shared" si="8"/>
        <v>F251</v>
      </c>
      <c r="L565" s="8"/>
      <c r="M565" s="9" t="str">
        <f t="shared" si="9"/>
        <v>IPN1503</v>
      </c>
      <c r="N565" s="9">
        <f t="shared" si="10"/>
        <v>7</v>
      </c>
      <c r="O565" s="9" t="str">
        <f t="shared" si="11"/>
        <v>K/1IPN1503</v>
      </c>
    </row>
    <row r="566" spans="1:15" ht="17.5" x14ac:dyDescent="0.55000000000000004">
      <c r="A566" s="12" t="s">
        <v>803</v>
      </c>
      <c r="B566" s="6" t="s">
        <v>31</v>
      </c>
      <c r="C566" s="6" t="s">
        <v>14</v>
      </c>
      <c r="D566" s="12" t="s">
        <v>813</v>
      </c>
      <c r="E566" s="6" t="s">
        <v>155</v>
      </c>
      <c r="F566" s="6" t="s">
        <v>814</v>
      </c>
      <c r="G566" s="6" t="s">
        <v>806</v>
      </c>
      <c r="H566" s="6">
        <v>20</v>
      </c>
      <c r="I566" s="6" t="s">
        <v>807</v>
      </c>
      <c r="J566" s="6">
        <v>2</v>
      </c>
      <c r="K566" s="7" t="str">
        <f t="shared" si="8"/>
        <v>F251</v>
      </c>
      <c r="L566" s="8"/>
      <c r="M566" s="9" t="str">
        <f t="shared" si="9"/>
        <v>IPN1503</v>
      </c>
      <c r="N566" s="9">
        <f t="shared" si="10"/>
        <v>7</v>
      </c>
      <c r="O566" s="9" t="str">
        <f t="shared" si="11"/>
        <v>K/2IPN1503</v>
      </c>
    </row>
    <row r="567" spans="1:15" ht="17.5" x14ac:dyDescent="0.55000000000000004">
      <c r="A567" s="13" t="s">
        <v>803</v>
      </c>
      <c r="B567" s="11" t="s">
        <v>31</v>
      </c>
      <c r="C567" s="11" t="s">
        <v>283</v>
      </c>
      <c r="D567" s="13" t="s">
        <v>815</v>
      </c>
      <c r="E567" s="11" t="s">
        <v>16</v>
      </c>
      <c r="F567" s="11" t="s">
        <v>816</v>
      </c>
      <c r="G567" s="11" t="s">
        <v>810</v>
      </c>
      <c r="H567" s="11">
        <v>30</v>
      </c>
      <c r="I567" s="11" t="s">
        <v>807</v>
      </c>
      <c r="J567" s="11">
        <v>2</v>
      </c>
      <c r="K567" s="7" t="str">
        <f t="shared" si="8"/>
        <v>F251</v>
      </c>
      <c r="L567" s="8"/>
      <c r="M567" s="9" t="str">
        <f t="shared" si="9"/>
        <v>IPN1641</v>
      </c>
      <c r="N567" s="9">
        <f t="shared" si="10"/>
        <v>7</v>
      </c>
      <c r="O567" s="9" t="str">
        <f t="shared" si="11"/>
        <v>K/1IPN1641</v>
      </c>
    </row>
    <row r="568" spans="1:15" ht="17.5" x14ac:dyDescent="0.55000000000000004">
      <c r="A568" s="12" t="s">
        <v>803</v>
      </c>
      <c r="B568" s="6" t="s">
        <v>31</v>
      </c>
      <c r="C568" s="6" t="s">
        <v>817</v>
      </c>
      <c r="D568" s="12" t="s">
        <v>818</v>
      </c>
      <c r="E568" s="6" t="s">
        <v>50</v>
      </c>
      <c r="F568" s="6" t="s">
        <v>819</v>
      </c>
      <c r="G568" s="6" t="s">
        <v>806</v>
      </c>
      <c r="H568" s="6">
        <v>20</v>
      </c>
      <c r="I568" s="6" t="s">
        <v>807</v>
      </c>
      <c r="J568" s="6">
        <v>2</v>
      </c>
      <c r="K568" s="7" t="str">
        <f t="shared" si="8"/>
        <v>F251</v>
      </c>
      <c r="L568" s="8"/>
      <c r="M568" s="9" t="str">
        <f t="shared" si="9"/>
        <v>IPN1506</v>
      </c>
      <c r="N568" s="9">
        <f t="shared" si="10"/>
        <v>7</v>
      </c>
      <c r="O568" s="9" t="str">
        <f t="shared" si="11"/>
        <v>P/1IPN1506</v>
      </c>
    </row>
    <row r="569" spans="1:15" ht="17.5" x14ac:dyDescent="0.55000000000000004">
      <c r="A569" s="13" t="s">
        <v>803</v>
      </c>
      <c r="B569" s="11" t="s">
        <v>31</v>
      </c>
      <c r="C569" s="11" t="s">
        <v>820</v>
      </c>
      <c r="D569" s="13" t="s">
        <v>818</v>
      </c>
      <c r="E569" s="11" t="s">
        <v>144</v>
      </c>
      <c r="F569" s="11" t="s">
        <v>819</v>
      </c>
      <c r="G569" s="11" t="s">
        <v>810</v>
      </c>
      <c r="H569" s="11">
        <v>30</v>
      </c>
      <c r="I569" s="11" t="s">
        <v>807</v>
      </c>
      <c r="J569" s="11">
        <v>2</v>
      </c>
      <c r="K569" s="7" t="str">
        <f t="shared" si="8"/>
        <v>F251</v>
      </c>
      <c r="L569" s="8"/>
      <c r="M569" s="9" t="str">
        <f t="shared" si="9"/>
        <v>IPN1506</v>
      </c>
      <c r="N569" s="9">
        <f t="shared" si="10"/>
        <v>7</v>
      </c>
      <c r="O569" s="9" t="str">
        <f t="shared" si="11"/>
        <v>P/2IPN1506</v>
      </c>
    </row>
    <row r="570" spans="1:15" ht="17.5" x14ac:dyDescent="0.55000000000000004">
      <c r="A570" s="12" t="s">
        <v>803</v>
      </c>
      <c r="B570" s="6" t="s">
        <v>41</v>
      </c>
      <c r="C570" s="6" t="s">
        <v>821</v>
      </c>
      <c r="D570" s="12" t="s">
        <v>822</v>
      </c>
      <c r="E570" s="6" t="s">
        <v>16</v>
      </c>
      <c r="F570" s="6" t="s">
        <v>823</v>
      </c>
      <c r="G570" s="6" t="s">
        <v>810</v>
      </c>
      <c r="H570" s="6">
        <v>30</v>
      </c>
      <c r="I570" s="6" t="s">
        <v>807</v>
      </c>
      <c r="J570" s="6">
        <v>2</v>
      </c>
      <c r="K570" s="7" t="str">
        <f t="shared" si="8"/>
        <v>F251</v>
      </c>
      <c r="L570" s="8"/>
      <c r="M570" s="9" t="str">
        <f t="shared" si="9"/>
        <v>IPN1633</v>
      </c>
      <c r="N570" s="9">
        <f t="shared" si="10"/>
        <v>7</v>
      </c>
      <c r="O570" s="9" t="str">
        <f t="shared" si="11"/>
        <v>K/1IPN1633</v>
      </c>
    </row>
    <row r="571" spans="1:15" ht="17.5" x14ac:dyDescent="0.55000000000000004">
      <c r="A571" s="13" t="s">
        <v>803</v>
      </c>
      <c r="B571" s="11" t="s">
        <v>41</v>
      </c>
      <c r="C571" s="11" t="s">
        <v>64</v>
      </c>
      <c r="D571" s="13" t="s">
        <v>818</v>
      </c>
      <c r="E571" s="11" t="s">
        <v>16</v>
      </c>
      <c r="F571" s="11" t="s">
        <v>819</v>
      </c>
      <c r="G571" s="11" t="s">
        <v>806</v>
      </c>
      <c r="H571" s="11">
        <v>20</v>
      </c>
      <c r="I571" s="11" t="s">
        <v>807</v>
      </c>
      <c r="J571" s="11">
        <v>2</v>
      </c>
      <c r="K571" s="7" t="str">
        <f t="shared" si="8"/>
        <v>F251</v>
      </c>
      <c r="L571" s="8"/>
      <c r="M571" s="9" t="str">
        <f t="shared" si="9"/>
        <v>IPN1506</v>
      </c>
      <c r="N571" s="9">
        <f t="shared" si="10"/>
        <v>7</v>
      </c>
      <c r="O571" s="9" t="str">
        <f t="shared" si="11"/>
        <v>K/1IPN1506</v>
      </c>
    </row>
    <row r="572" spans="1:15" ht="17.5" x14ac:dyDescent="0.55000000000000004">
      <c r="A572" s="12" t="s">
        <v>803</v>
      </c>
      <c r="B572" s="6" t="s">
        <v>41</v>
      </c>
      <c r="C572" s="6" t="s">
        <v>64</v>
      </c>
      <c r="D572" s="12" t="s">
        <v>818</v>
      </c>
      <c r="E572" s="6" t="s">
        <v>155</v>
      </c>
      <c r="F572" s="6" t="s">
        <v>819</v>
      </c>
      <c r="G572" s="6" t="s">
        <v>810</v>
      </c>
      <c r="H572" s="6">
        <v>30</v>
      </c>
      <c r="I572" s="6" t="s">
        <v>807</v>
      </c>
      <c r="J572" s="6">
        <v>2</v>
      </c>
      <c r="K572" s="7" t="str">
        <f t="shared" si="8"/>
        <v>F251</v>
      </c>
      <c r="L572" s="8"/>
      <c r="M572" s="9" t="str">
        <f t="shared" si="9"/>
        <v>IPN1506</v>
      </c>
      <c r="N572" s="9">
        <f t="shared" si="10"/>
        <v>7</v>
      </c>
      <c r="O572" s="9" t="str">
        <f t="shared" si="11"/>
        <v>K/2IPN1506</v>
      </c>
    </row>
    <row r="573" spans="1:15" ht="17.5" x14ac:dyDescent="0.55000000000000004">
      <c r="A573" s="13" t="s">
        <v>803</v>
      </c>
      <c r="B573" s="11" t="s">
        <v>41</v>
      </c>
      <c r="C573" s="11" t="s">
        <v>138</v>
      </c>
      <c r="D573" s="13" t="s">
        <v>824</v>
      </c>
      <c r="E573" s="11" t="s">
        <v>50</v>
      </c>
      <c r="F573" s="11" t="s">
        <v>816</v>
      </c>
      <c r="G573" s="11" t="s">
        <v>17</v>
      </c>
      <c r="H573" s="11">
        <v>0</v>
      </c>
      <c r="I573" s="11" t="s">
        <v>807</v>
      </c>
      <c r="J573" s="11">
        <v>2</v>
      </c>
      <c r="K573" s="7" t="str">
        <f t="shared" si="8"/>
        <v>F251</v>
      </c>
      <c r="L573" s="8"/>
      <c r="M573" s="9" t="str">
        <f t="shared" si="9"/>
        <v>IPN1642</v>
      </c>
      <c r="N573" s="9">
        <f t="shared" si="10"/>
        <v>7</v>
      </c>
      <c r="O573" s="9" t="str">
        <f t="shared" si="11"/>
        <v>P/1IPN1642</v>
      </c>
    </row>
    <row r="574" spans="1:15" ht="17.5" x14ac:dyDescent="0.55000000000000004">
      <c r="A574" s="12" t="s">
        <v>803</v>
      </c>
      <c r="B574" s="6" t="s">
        <v>47</v>
      </c>
      <c r="C574" s="6" t="s">
        <v>14</v>
      </c>
      <c r="D574" s="12" t="s">
        <v>825</v>
      </c>
      <c r="E574" s="6" t="s">
        <v>16</v>
      </c>
      <c r="F574" s="6" t="s">
        <v>826</v>
      </c>
      <c r="G574" s="6" t="s">
        <v>806</v>
      </c>
      <c r="H574" s="6">
        <v>20</v>
      </c>
      <c r="I574" s="6" t="s">
        <v>807</v>
      </c>
      <c r="J574" s="6">
        <v>2</v>
      </c>
      <c r="K574" s="7" t="str">
        <f t="shared" si="8"/>
        <v>F251</v>
      </c>
      <c r="L574" s="8"/>
      <c r="M574" s="9" t="str">
        <f t="shared" si="9"/>
        <v>IPN1504</v>
      </c>
      <c r="N574" s="9">
        <f t="shared" si="10"/>
        <v>7</v>
      </c>
      <c r="O574" s="9" t="str">
        <f t="shared" si="11"/>
        <v>K/1IPN1504</v>
      </c>
    </row>
    <row r="575" spans="1:15" ht="17.5" x14ac:dyDescent="0.55000000000000004">
      <c r="A575" s="13" t="s">
        <v>803</v>
      </c>
      <c r="B575" s="11" t="s">
        <v>47</v>
      </c>
      <c r="C575" s="11" t="s">
        <v>14</v>
      </c>
      <c r="D575" s="13" t="s">
        <v>825</v>
      </c>
      <c r="E575" s="11" t="s">
        <v>155</v>
      </c>
      <c r="F575" s="11" t="s">
        <v>826</v>
      </c>
      <c r="G575" s="11" t="s">
        <v>810</v>
      </c>
      <c r="H575" s="11">
        <v>30</v>
      </c>
      <c r="I575" s="11" t="s">
        <v>807</v>
      </c>
      <c r="J575" s="11">
        <v>2</v>
      </c>
      <c r="K575" s="7" t="str">
        <f t="shared" si="8"/>
        <v>F251</v>
      </c>
      <c r="L575" s="8"/>
      <c r="M575" s="9" t="str">
        <f t="shared" si="9"/>
        <v>IPN1504</v>
      </c>
      <c r="N575" s="9">
        <f t="shared" si="10"/>
        <v>7</v>
      </c>
      <c r="O575" s="9" t="str">
        <f t="shared" si="11"/>
        <v>K/2IPN1504</v>
      </c>
    </row>
    <row r="576" spans="1:15" ht="17.5" x14ac:dyDescent="0.55000000000000004">
      <c r="A576" s="12" t="s">
        <v>803</v>
      </c>
      <c r="B576" s="6" t="s">
        <v>47</v>
      </c>
      <c r="C576" s="6" t="s">
        <v>25</v>
      </c>
      <c r="D576" s="12" t="s">
        <v>827</v>
      </c>
      <c r="E576" s="6" t="s">
        <v>16</v>
      </c>
      <c r="F576" s="6" t="s">
        <v>828</v>
      </c>
      <c r="G576" s="6" t="s">
        <v>810</v>
      </c>
      <c r="H576" s="6">
        <v>30</v>
      </c>
      <c r="I576" s="6" t="s">
        <v>807</v>
      </c>
      <c r="J576" s="6">
        <v>2</v>
      </c>
      <c r="K576" s="7" t="str">
        <f t="shared" si="8"/>
        <v>F251</v>
      </c>
      <c r="L576" s="8"/>
      <c r="M576" s="9" t="str">
        <f t="shared" si="9"/>
        <v>IPN1634</v>
      </c>
      <c r="N576" s="9">
        <f t="shared" si="10"/>
        <v>7</v>
      </c>
      <c r="O576" s="9" t="str">
        <f t="shared" si="11"/>
        <v>K/1IPN1634</v>
      </c>
    </row>
    <row r="577" spans="1:15" ht="17.5" x14ac:dyDescent="0.55000000000000004">
      <c r="A577" s="13" t="s">
        <v>803</v>
      </c>
      <c r="B577" s="11" t="s">
        <v>52</v>
      </c>
      <c r="C577" s="11" t="s">
        <v>53</v>
      </c>
      <c r="D577" s="13" t="s">
        <v>829</v>
      </c>
      <c r="E577" s="11" t="s">
        <v>16</v>
      </c>
      <c r="F577" s="11" t="s">
        <v>830</v>
      </c>
      <c r="G577" s="11" t="s">
        <v>806</v>
      </c>
      <c r="H577" s="11">
        <v>20</v>
      </c>
      <c r="I577" s="11" t="s">
        <v>807</v>
      </c>
      <c r="J577" s="11">
        <v>2</v>
      </c>
      <c r="K577" s="7" t="str">
        <f t="shared" si="8"/>
        <v>F251</v>
      </c>
      <c r="L577" s="8"/>
      <c r="M577" s="9" t="str">
        <f t="shared" si="9"/>
        <v>IPN1623</v>
      </c>
      <c r="N577" s="9">
        <f t="shared" si="10"/>
        <v>7</v>
      </c>
      <c r="O577" s="9" t="str">
        <f t="shared" si="11"/>
        <v>K/1IPN1623</v>
      </c>
    </row>
    <row r="578" spans="1:15" ht="17.5" x14ac:dyDescent="0.55000000000000004">
      <c r="A578" s="12" t="s">
        <v>803</v>
      </c>
      <c r="B578" s="6" t="s">
        <v>52</v>
      </c>
      <c r="C578" s="6" t="s">
        <v>426</v>
      </c>
      <c r="D578" s="12" t="s">
        <v>804</v>
      </c>
      <c r="E578" s="6" t="s">
        <v>50</v>
      </c>
      <c r="F578" s="6" t="s">
        <v>805</v>
      </c>
      <c r="G578" s="6" t="s">
        <v>810</v>
      </c>
      <c r="H578" s="6">
        <v>30</v>
      </c>
      <c r="I578" s="6" t="s">
        <v>807</v>
      </c>
      <c r="J578" s="6">
        <v>2</v>
      </c>
      <c r="K578" s="7" t="str">
        <f t="shared" si="8"/>
        <v>F251</v>
      </c>
      <c r="L578" s="8"/>
      <c r="M578" s="9" t="str">
        <f t="shared" si="9"/>
        <v>IPN1612</v>
      </c>
      <c r="N578" s="9">
        <f t="shared" si="10"/>
        <v>7</v>
      </c>
      <c r="O578" s="9" t="str">
        <f t="shared" si="11"/>
        <v>P/1IPN1612</v>
      </c>
    </row>
    <row r="579" spans="1:15" ht="17.5" x14ac:dyDescent="0.55000000000000004">
      <c r="A579" s="13" t="s">
        <v>803</v>
      </c>
      <c r="B579" s="11" t="s">
        <v>52</v>
      </c>
      <c r="C579" s="11" t="s">
        <v>235</v>
      </c>
      <c r="D579" s="13" t="s">
        <v>824</v>
      </c>
      <c r="E579" s="11" t="s">
        <v>16</v>
      </c>
      <c r="F579" s="11" t="s">
        <v>816</v>
      </c>
      <c r="G579" s="11" t="s">
        <v>806</v>
      </c>
      <c r="H579" s="11">
        <v>20</v>
      </c>
      <c r="I579" s="11" t="s">
        <v>807</v>
      </c>
      <c r="J579" s="11">
        <v>2</v>
      </c>
      <c r="K579" s="7" t="str">
        <f t="shared" si="8"/>
        <v>F251</v>
      </c>
      <c r="L579" s="8"/>
      <c r="M579" s="9" t="str">
        <f t="shared" si="9"/>
        <v>IPN1642</v>
      </c>
      <c r="N579" s="9">
        <f t="shared" si="10"/>
        <v>7</v>
      </c>
      <c r="O579" s="9" t="str">
        <f t="shared" si="11"/>
        <v>K/1IPN1642</v>
      </c>
    </row>
    <row r="580" spans="1:15" ht="17.5" x14ac:dyDescent="0.55000000000000004">
      <c r="A580" s="12" t="s">
        <v>831</v>
      </c>
      <c r="B580" s="6" t="s">
        <v>195</v>
      </c>
      <c r="C580" s="6" t="s">
        <v>14</v>
      </c>
      <c r="D580" s="12" t="s">
        <v>832</v>
      </c>
      <c r="E580" s="6" t="s">
        <v>16</v>
      </c>
      <c r="F580" s="6" t="s">
        <v>805</v>
      </c>
      <c r="G580" s="6" t="s">
        <v>833</v>
      </c>
      <c r="H580" s="6">
        <v>20</v>
      </c>
      <c r="I580" s="6" t="s">
        <v>834</v>
      </c>
      <c r="J580" s="6">
        <v>2</v>
      </c>
      <c r="K580" s="7" t="str">
        <f t="shared" si="8"/>
        <v>F252</v>
      </c>
      <c r="L580" s="8"/>
      <c r="M580" s="9" t="str">
        <f t="shared" si="9"/>
        <v>TPN1503</v>
      </c>
      <c r="N580" s="9">
        <f t="shared" si="10"/>
        <v>7</v>
      </c>
      <c r="O580" s="9" t="str">
        <f t="shared" si="11"/>
        <v>K/1TPN1503</v>
      </c>
    </row>
    <row r="581" spans="1:15" ht="17.5" x14ac:dyDescent="0.55000000000000004">
      <c r="A581" s="13" t="s">
        <v>831</v>
      </c>
      <c r="B581" s="11" t="s">
        <v>195</v>
      </c>
      <c r="C581" s="11" t="s">
        <v>835</v>
      </c>
      <c r="D581" s="13" t="s">
        <v>836</v>
      </c>
      <c r="E581" s="11" t="s">
        <v>16</v>
      </c>
      <c r="F581" s="11" t="s">
        <v>816</v>
      </c>
      <c r="G581" s="11" t="s">
        <v>837</v>
      </c>
      <c r="H581" s="11">
        <v>20</v>
      </c>
      <c r="I581" s="11" t="s">
        <v>834</v>
      </c>
      <c r="J581" s="11">
        <v>2</v>
      </c>
      <c r="K581" s="7" t="str">
        <f t="shared" si="8"/>
        <v>F252</v>
      </c>
      <c r="L581" s="8"/>
      <c r="M581" s="9" t="str">
        <f t="shared" si="9"/>
        <v>TPN1541</v>
      </c>
      <c r="N581" s="9">
        <f t="shared" si="10"/>
        <v>7</v>
      </c>
      <c r="O581" s="9" t="str">
        <f t="shared" si="11"/>
        <v>K/1TPN1541</v>
      </c>
    </row>
    <row r="582" spans="1:15" ht="17.5" x14ac:dyDescent="0.55000000000000004">
      <c r="A582" s="12" t="s">
        <v>831</v>
      </c>
      <c r="B582" s="6" t="s">
        <v>195</v>
      </c>
      <c r="C582" s="6" t="s">
        <v>835</v>
      </c>
      <c r="D582" s="12" t="s">
        <v>838</v>
      </c>
      <c r="E582" s="6" t="s">
        <v>155</v>
      </c>
      <c r="F582" s="6" t="s">
        <v>814</v>
      </c>
      <c r="G582" s="6" t="s">
        <v>833</v>
      </c>
      <c r="H582" s="6">
        <v>20</v>
      </c>
      <c r="I582" s="6" t="s">
        <v>834</v>
      </c>
      <c r="J582" s="6">
        <v>2</v>
      </c>
      <c r="K582" s="7" t="str">
        <f t="shared" si="8"/>
        <v>F252</v>
      </c>
      <c r="L582" s="8"/>
      <c r="M582" s="9" t="str">
        <f t="shared" si="9"/>
        <v>TPN1601</v>
      </c>
      <c r="N582" s="9">
        <f t="shared" si="10"/>
        <v>7</v>
      </c>
      <c r="O582" s="9" t="str">
        <f t="shared" si="11"/>
        <v>K/2TPN1601</v>
      </c>
    </row>
    <row r="583" spans="1:15" ht="17.5" x14ac:dyDescent="0.55000000000000004">
      <c r="A583" s="13" t="s">
        <v>831</v>
      </c>
      <c r="B583" s="11" t="s">
        <v>195</v>
      </c>
      <c r="C583" s="11" t="s">
        <v>839</v>
      </c>
      <c r="D583" s="13" t="s">
        <v>836</v>
      </c>
      <c r="E583" s="11" t="s">
        <v>155</v>
      </c>
      <c r="F583" s="11" t="s">
        <v>816</v>
      </c>
      <c r="G583" s="11" t="s">
        <v>833</v>
      </c>
      <c r="H583" s="11">
        <v>20</v>
      </c>
      <c r="I583" s="11" t="s">
        <v>834</v>
      </c>
      <c r="J583" s="11">
        <v>2</v>
      </c>
      <c r="K583" s="7" t="str">
        <f t="shared" si="8"/>
        <v>F252</v>
      </c>
      <c r="L583" s="8"/>
      <c r="M583" s="9" t="str">
        <f t="shared" si="9"/>
        <v>TPN1541</v>
      </c>
      <c r="N583" s="9">
        <f t="shared" si="10"/>
        <v>7</v>
      </c>
      <c r="O583" s="9" t="str">
        <f t="shared" si="11"/>
        <v>K/2TPN1541</v>
      </c>
    </row>
    <row r="584" spans="1:15" ht="17.5" x14ac:dyDescent="0.55000000000000004">
      <c r="A584" s="12" t="s">
        <v>831</v>
      </c>
      <c r="B584" s="6" t="s">
        <v>195</v>
      </c>
      <c r="C584" s="6" t="s">
        <v>839</v>
      </c>
      <c r="D584" s="12" t="s">
        <v>838</v>
      </c>
      <c r="E584" s="6" t="s">
        <v>16</v>
      </c>
      <c r="F584" s="6" t="s">
        <v>814</v>
      </c>
      <c r="G584" s="6" t="s">
        <v>837</v>
      </c>
      <c r="H584" s="6">
        <v>20</v>
      </c>
      <c r="I584" s="6" t="s">
        <v>834</v>
      </c>
      <c r="J584" s="6">
        <v>2</v>
      </c>
      <c r="K584" s="7" t="str">
        <f t="shared" si="8"/>
        <v>F252</v>
      </c>
      <c r="L584" s="8"/>
      <c r="M584" s="9" t="str">
        <f t="shared" si="9"/>
        <v>TPN1601</v>
      </c>
      <c r="N584" s="9">
        <f t="shared" si="10"/>
        <v>7</v>
      </c>
      <c r="O584" s="9" t="str">
        <f t="shared" si="11"/>
        <v>K/1TPN1601</v>
      </c>
    </row>
    <row r="585" spans="1:15" ht="17.5" x14ac:dyDescent="0.55000000000000004">
      <c r="A585" s="13" t="s">
        <v>831</v>
      </c>
      <c r="B585" s="11" t="s">
        <v>195</v>
      </c>
      <c r="C585" s="11" t="s">
        <v>840</v>
      </c>
      <c r="D585" s="13" t="s">
        <v>841</v>
      </c>
      <c r="E585" s="11" t="s">
        <v>16</v>
      </c>
      <c r="F585" s="11" t="s">
        <v>842</v>
      </c>
      <c r="G585" s="11" t="s">
        <v>833</v>
      </c>
      <c r="H585" s="11">
        <v>20</v>
      </c>
      <c r="I585" s="11" t="s">
        <v>834</v>
      </c>
      <c r="J585" s="11">
        <v>2</v>
      </c>
      <c r="K585" s="7" t="str">
        <f t="shared" si="8"/>
        <v>F252</v>
      </c>
      <c r="L585" s="8"/>
      <c r="M585" s="9" t="str">
        <f t="shared" si="9"/>
        <v>TPN1602</v>
      </c>
      <c r="N585" s="9">
        <f t="shared" si="10"/>
        <v>7</v>
      </c>
      <c r="O585" s="9" t="str">
        <f t="shared" si="11"/>
        <v>K/1TPN1602</v>
      </c>
    </row>
    <row r="586" spans="1:15" ht="17.5" x14ac:dyDescent="0.55000000000000004">
      <c r="A586" s="12" t="s">
        <v>831</v>
      </c>
      <c r="B586" s="6" t="s">
        <v>195</v>
      </c>
      <c r="C586" s="6" t="s">
        <v>840</v>
      </c>
      <c r="D586" s="12" t="s">
        <v>843</v>
      </c>
      <c r="E586" s="6" t="s">
        <v>16</v>
      </c>
      <c r="F586" s="6" t="s">
        <v>844</v>
      </c>
      <c r="G586" s="6" t="s">
        <v>837</v>
      </c>
      <c r="H586" s="6">
        <v>20</v>
      </c>
      <c r="I586" s="6" t="s">
        <v>834</v>
      </c>
      <c r="J586" s="6">
        <v>2</v>
      </c>
      <c r="K586" s="7" t="str">
        <f t="shared" si="8"/>
        <v>F252</v>
      </c>
      <c r="L586" s="8"/>
      <c r="M586" s="9" t="str">
        <f t="shared" si="9"/>
        <v>TPN1622</v>
      </c>
      <c r="N586" s="9">
        <f t="shared" si="10"/>
        <v>7</v>
      </c>
      <c r="O586" s="9" t="str">
        <f t="shared" si="11"/>
        <v>K/1TPN1622</v>
      </c>
    </row>
    <row r="587" spans="1:15" ht="17.5" x14ac:dyDescent="0.55000000000000004">
      <c r="A587" s="13" t="s">
        <v>831</v>
      </c>
      <c r="B587" s="11" t="s">
        <v>195</v>
      </c>
      <c r="C587" s="11" t="s">
        <v>840</v>
      </c>
      <c r="D587" s="13" t="s">
        <v>845</v>
      </c>
      <c r="E587" s="11" t="s">
        <v>16</v>
      </c>
      <c r="F587" s="11" t="s">
        <v>846</v>
      </c>
      <c r="G587" s="11" t="s">
        <v>847</v>
      </c>
      <c r="H587" s="11">
        <v>22</v>
      </c>
      <c r="I587" s="11" t="s">
        <v>834</v>
      </c>
      <c r="J587" s="11">
        <v>2</v>
      </c>
      <c r="K587" s="7" t="str">
        <f t="shared" si="8"/>
        <v>F252</v>
      </c>
      <c r="L587" s="8"/>
      <c r="M587" s="9" t="str">
        <f t="shared" si="9"/>
        <v>TPN1641</v>
      </c>
      <c r="N587" s="9">
        <f t="shared" si="10"/>
        <v>7</v>
      </c>
      <c r="O587" s="9" t="str">
        <f t="shared" si="11"/>
        <v>K/1TPN1641</v>
      </c>
    </row>
    <row r="588" spans="1:15" ht="17.5" x14ac:dyDescent="0.55000000000000004">
      <c r="A588" s="12" t="s">
        <v>831</v>
      </c>
      <c r="B588" s="6" t="s">
        <v>195</v>
      </c>
      <c r="C588" s="6" t="s">
        <v>397</v>
      </c>
      <c r="D588" s="12" t="s">
        <v>841</v>
      </c>
      <c r="E588" s="6" t="s">
        <v>50</v>
      </c>
      <c r="F588" s="6" t="s">
        <v>842</v>
      </c>
      <c r="G588" s="6" t="s">
        <v>833</v>
      </c>
      <c r="H588" s="6">
        <v>20</v>
      </c>
      <c r="I588" s="6" t="s">
        <v>834</v>
      </c>
      <c r="J588" s="6">
        <v>2</v>
      </c>
      <c r="K588" s="7" t="str">
        <f t="shared" si="8"/>
        <v>F252</v>
      </c>
      <c r="L588" s="8"/>
      <c r="M588" s="9" t="str">
        <f t="shared" si="9"/>
        <v>TPN1602</v>
      </c>
      <c r="N588" s="9">
        <f t="shared" si="10"/>
        <v>7</v>
      </c>
      <c r="O588" s="9" t="str">
        <f t="shared" si="11"/>
        <v>P/1TPN1602</v>
      </c>
    </row>
    <row r="589" spans="1:15" ht="17.5" x14ac:dyDescent="0.55000000000000004">
      <c r="A589" s="13" t="s">
        <v>831</v>
      </c>
      <c r="B589" s="11" t="s">
        <v>195</v>
      </c>
      <c r="C589" s="11" t="s">
        <v>397</v>
      </c>
      <c r="D589" s="13" t="s">
        <v>843</v>
      </c>
      <c r="E589" s="11" t="s">
        <v>50</v>
      </c>
      <c r="F589" s="11" t="s">
        <v>844</v>
      </c>
      <c r="G589" s="11" t="s">
        <v>17</v>
      </c>
      <c r="H589" s="11">
        <v>0</v>
      </c>
      <c r="I589" s="11" t="s">
        <v>834</v>
      </c>
      <c r="J589" s="11">
        <v>2</v>
      </c>
      <c r="K589" s="7" t="str">
        <f t="shared" si="8"/>
        <v>F252</v>
      </c>
      <c r="L589" s="8"/>
      <c r="M589" s="9" t="str">
        <f t="shared" si="9"/>
        <v>TPN1622</v>
      </c>
      <c r="N589" s="9">
        <f t="shared" si="10"/>
        <v>7</v>
      </c>
      <c r="O589" s="9" t="str">
        <f t="shared" si="11"/>
        <v>P/1TPN1622</v>
      </c>
    </row>
    <row r="590" spans="1:15" ht="17.5" x14ac:dyDescent="0.55000000000000004">
      <c r="A590" s="12" t="s">
        <v>848</v>
      </c>
      <c r="B590" s="6" t="s">
        <v>13</v>
      </c>
      <c r="C590" s="6" t="s">
        <v>139</v>
      </c>
      <c r="D590" s="12" t="s">
        <v>849</v>
      </c>
      <c r="E590" s="6" t="s">
        <v>16</v>
      </c>
      <c r="F590" s="6" t="s">
        <v>850</v>
      </c>
      <c r="G590" s="6" t="s">
        <v>851</v>
      </c>
      <c r="H590" s="6">
        <v>20</v>
      </c>
      <c r="I590" s="6" t="s">
        <v>852</v>
      </c>
      <c r="J590" s="6">
        <v>2</v>
      </c>
      <c r="K590" s="7" t="str">
        <f t="shared" si="8"/>
        <v>F351</v>
      </c>
      <c r="L590" s="8"/>
      <c r="M590" s="9" t="str">
        <f t="shared" si="9"/>
        <v>TIN1592</v>
      </c>
      <c r="N590" s="9">
        <f t="shared" si="10"/>
        <v>7</v>
      </c>
      <c r="O590" s="9" t="str">
        <f t="shared" si="11"/>
        <v>K/1TIN1592</v>
      </c>
    </row>
    <row r="591" spans="1:15" ht="17.5" x14ac:dyDescent="0.55000000000000004">
      <c r="A591" s="13" t="s">
        <v>848</v>
      </c>
      <c r="B591" s="11" t="s">
        <v>13</v>
      </c>
      <c r="C591" s="11" t="s">
        <v>271</v>
      </c>
      <c r="D591" s="13" t="s">
        <v>849</v>
      </c>
      <c r="E591" s="11" t="s">
        <v>50</v>
      </c>
      <c r="F591" s="11" t="s">
        <v>850</v>
      </c>
      <c r="G591" s="11" t="s">
        <v>851</v>
      </c>
      <c r="H591" s="11">
        <v>20</v>
      </c>
      <c r="I591" s="11" t="s">
        <v>852</v>
      </c>
      <c r="J591" s="11">
        <v>2</v>
      </c>
      <c r="K591" s="7" t="str">
        <f t="shared" si="8"/>
        <v>F351</v>
      </c>
      <c r="L591" s="8"/>
      <c r="M591" s="9" t="str">
        <f t="shared" si="9"/>
        <v>TIN1592</v>
      </c>
      <c r="N591" s="9">
        <f t="shared" si="10"/>
        <v>7</v>
      </c>
      <c r="O591" s="9" t="str">
        <f t="shared" si="11"/>
        <v>P/1TIN1592</v>
      </c>
    </row>
    <row r="592" spans="1:15" ht="17.5" x14ac:dyDescent="0.55000000000000004">
      <c r="A592" s="12" t="s">
        <v>848</v>
      </c>
      <c r="B592" s="6" t="s">
        <v>13</v>
      </c>
      <c r="C592" s="6" t="s">
        <v>25</v>
      </c>
      <c r="D592" s="12" t="s">
        <v>853</v>
      </c>
      <c r="E592" s="6" t="s">
        <v>16</v>
      </c>
      <c r="F592" s="6" t="s">
        <v>854</v>
      </c>
      <c r="G592" s="6" t="s">
        <v>855</v>
      </c>
      <c r="H592" s="6">
        <v>20</v>
      </c>
      <c r="I592" s="6" t="s">
        <v>852</v>
      </c>
      <c r="J592" s="6">
        <v>2</v>
      </c>
      <c r="K592" s="7" t="str">
        <f t="shared" si="8"/>
        <v>F351</v>
      </c>
      <c r="L592" s="8"/>
      <c r="M592" s="9" t="str">
        <f t="shared" si="9"/>
        <v>TIN1562</v>
      </c>
      <c r="N592" s="9">
        <f t="shared" si="10"/>
        <v>7</v>
      </c>
      <c r="O592" s="9" t="str">
        <f t="shared" si="11"/>
        <v>K/1TIN1562</v>
      </c>
    </row>
    <row r="593" spans="1:15" ht="17.5" x14ac:dyDescent="0.55000000000000004">
      <c r="A593" s="13" t="s">
        <v>848</v>
      </c>
      <c r="B593" s="11" t="s">
        <v>13</v>
      </c>
      <c r="C593" s="11" t="s">
        <v>64</v>
      </c>
      <c r="D593" s="13" t="s">
        <v>856</v>
      </c>
      <c r="E593" s="11" t="s">
        <v>16</v>
      </c>
      <c r="F593" s="11"/>
      <c r="G593" s="11" t="s">
        <v>17</v>
      </c>
      <c r="H593" s="11">
        <v>0</v>
      </c>
      <c r="I593" s="11" t="s">
        <v>852</v>
      </c>
      <c r="J593" s="11">
        <v>2</v>
      </c>
      <c r="K593" s="7" t="str">
        <f t="shared" si="8"/>
        <v>F351</v>
      </c>
      <c r="L593" s="8"/>
      <c r="M593" s="9" t="str">
        <f t="shared" si="9"/>
        <v>TIN1617</v>
      </c>
      <c r="N593" s="9">
        <f t="shared" si="10"/>
        <v>7</v>
      </c>
      <c r="O593" s="9" t="str">
        <f t="shared" si="11"/>
        <v>K/1TIN1617</v>
      </c>
    </row>
    <row r="594" spans="1:15" ht="17.5" x14ac:dyDescent="0.55000000000000004">
      <c r="A594" s="12" t="s">
        <v>848</v>
      </c>
      <c r="B594" s="6" t="s">
        <v>13</v>
      </c>
      <c r="C594" s="6" t="s">
        <v>64</v>
      </c>
      <c r="D594" s="12" t="s">
        <v>857</v>
      </c>
      <c r="E594" s="6" t="s">
        <v>16</v>
      </c>
      <c r="F594" s="6" t="s">
        <v>858</v>
      </c>
      <c r="G594" s="6" t="s">
        <v>859</v>
      </c>
      <c r="H594" s="6">
        <v>20</v>
      </c>
      <c r="I594" s="6" t="s">
        <v>852</v>
      </c>
      <c r="J594" s="6">
        <v>2</v>
      </c>
      <c r="K594" s="7" t="str">
        <f t="shared" si="8"/>
        <v>F351</v>
      </c>
      <c r="L594" s="8"/>
      <c r="M594" s="9" t="str">
        <f t="shared" si="9"/>
        <v>TIN1662</v>
      </c>
      <c r="N594" s="9">
        <f t="shared" si="10"/>
        <v>7</v>
      </c>
      <c r="O594" s="9" t="str">
        <f t="shared" si="11"/>
        <v>K/1TIN1662</v>
      </c>
    </row>
    <row r="595" spans="1:15" ht="17.5" x14ac:dyDescent="0.55000000000000004">
      <c r="A595" s="13" t="s">
        <v>848</v>
      </c>
      <c r="B595" s="11" t="s">
        <v>13</v>
      </c>
      <c r="C595" s="11" t="s">
        <v>64</v>
      </c>
      <c r="D595" s="13" t="s">
        <v>860</v>
      </c>
      <c r="E595" s="11" t="s">
        <v>16</v>
      </c>
      <c r="F595" s="11"/>
      <c r="G595" s="11" t="s">
        <v>17</v>
      </c>
      <c r="H595" s="11">
        <v>0</v>
      </c>
      <c r="I595" s="11" t="s">
        <v>852</v>
      </c>
      <c r="J595" s="11">
        <v>2</v>
      </c>
      <c r="K595" s="7" t="str">
        <f t="shared" si="8"/>
        <v>F351</v>
      </c>
      <c r="L595" s="8"/>
      <c r="M595" s="9" t="str">
        <f t="shared" si="9"/>
        <v>TIN1675</v>
      </c>
      <c r="N595" s="9">
        <f t="shared" si="10"/>
        <v>7</v>
      </c>
      <c r="O595" s="9" t="str">
        <f t="shared" si="11"/>
        <v>K/1TIN1675</v>
      </c>
    </row>
    <row r="596" spans="1:15" ht="17.5" x14ac:dyDescent="0.55000000000000004">
      <c r="A596" s="12" t="s">
        <v>848</v>
      </c>
      <c r="B596" s="6" t="s">
        <v>13</v>
      </c>
      <c r="C596" s="6" t="s">
        <v>256</v>
      </c>
      <c r="D596" s="12" t="s">
        <v>853</v>
      </c>
      <c r="E596" s="6" t="s">
        <v>50</v>
      </c>
      <c r="F596" s="6" t="s">
        <v>854</v>
      </c>
      <c r="G596" s="6" t="s">
        <v>855</v>
      </c>
      <c r="H596" s="6">
        <v>20</v>
      </c>
      <c r="I596" s="6" t="s">
        <v>852</v>
      </c>
      <c r="J596" s="6">
        <v>2</v>
      </c>
      <c r="K596" s="7" t="str">
        <f t="shared" si="8"/>
        <v>F351</v>
      </c>
      <c r="L596" s="8"/>
      <c r="M596" s="9" t="str">
        <f t="shared" si="9"/>
        <v>TIN1562</v>
      </c>
      <c r="N596" s="9">
        <f t="shared" si="10"/>
        <v>7</v>
      </c>
      <c r="O596" s="9" t="str">
        <f t="shared" si="11"/>
        <v>P/1TIN1562</v>
      </c>
    </row>
    <row r="597" spans="1:15" ht="17.5" x14ac:dyDescent="0.55000000000000004">
      <c r="A597" s="13" t="s">
        <v>848</v>
      </c>
      <c r="B597" s="11" t="s">
        <v>13</v>
      </c>
      <c r="C597" s="11" t="s">
        <v>861</v>
      </c>
      <c r="D597" s="13" t="s">
        <v>860</v>
      </c>
      <c r="E597" s="11" t="s">
        <v>50</v>
      </c>
      <c r="F597" s="11"/>
      <c r="G597" s="11" t="s">
        <v>17</v>
      </c>
      <c r="H597" s="11">
        <v>0</v>
      </c>
      <c r="I597" s="11" t="s">
        <v>852</v>
      </c>
      <c r="J597" s="11">
        <v>2</v>
      </c>
      <c r="K597" s="7" t="str">
        <f t="shared" si="8"/>
        <v>F351</v>
      </c>
      <c r="L597" s="8"/>
      <c r="M597" s="9" t="str">
        <f t="shared" si="9"/>
        <v>TIN1675</v>
      </c>
      <c r="N597" s="9">
        <f t="shared" si="10"/>
        <v>7</v>
      </c>
      <c r="O597" s="9" t="str">
        <f t="shared" si="11"/>
        <v>P/1TIN1675</v>
      </c>
    </row>
    <row r="598" spans="1:15" ht="17.5" x14ac:dyDescent="0.55000000000000004">
      <c r="A598" s="12" t="s">
        <v>848</v>
      </c>
      <c r="B598" s="6" t="s">
        <v>13</v>
      </c>
      <c r="C598" s="6" t="s">
        <v>560</v>
      </c>
      <c r="D598" s="12" t="s">
        <v>857</v>
      </c>
      <c r="E598" s="6" t="s">
        <v>50</v>
      </c>
      <c r="F598" s="6" t="s">
        <v>858</v>
      </c>
      <c r="G598" s="6" t="s">
        <v>859</v>
      </c>
      <c r="H598" s="6">
        <v>20</v>
      </c>
      <c r="I598" s="6" t="s">
        <v>852</v>
      </c>
      <c r="J598" s="6">
        <v>2</v>
      </c>
      <c r="K598" s="7" t="str">
        <f t="shared" si="8"/>
        <v>F351</v>
      </c>
      <c r="L598" s="8"/>
      <c r="M598" s="9" t="str">
        <f t="shared" si="9"/>
        <v>TIN1662</v>
      </c>
      <c r="N598" s="9">
        <f t="shared" si="10"/>
        <v>7</v>
      </c>
      <c r="O598" s="9" t="str">
        <f t="shared" si="11"/>
        <v>P/1TIN1662</v>
      </c>
    </row>
    <row r="599" spans="1:15" ht="17.5" x14ac:dyDescent="0.55000000000000004">
      <c r="A599" s="13" t="s">
        <v>848</v>
      </c>
      <c r="B599" s="11" t="s">
        <v>13</v>
      </c>
      <c r="C599" s="11" t="s">
        <v>862</v>
      </c>
      <c r="D599" s="13" t="s">
        <v>856</v>
      </c>
      <c r="E599" s="11" t="s">
        <v>50</v>
      </c>
      <c r="F599" s="11"/>
      <c r="G599" s="11" t="s">
        <v>17</v>
      </c>
      <c r="H599" s="11">
        <v>0</v>
      </c>
      <c r="I599" s="11" t="s">
        <v>852</v>
      </c>
      <c r="J599" s="11">
        <v>2</v>
      </c>
      <c r="K599" s="7" t="str">
        <f t="shared" si="8"/>
        <v>F351</v>
      </c>
      <c r="L599" s="8"/>
      <c r="M599" s="9" t="str">
        <f t="shared" si="9"/>
        <v>TIN1617</v>
      </c>
      <c r="N599" s="9">
        <f t="shared" si="10"/>
        <v>7</v>
      </c>
      <c r="O599" s="9" t="str">
        <f t="shared" si="11"/>
        <v>P/1TIN1617</v>
      </c>
    </row>
    <row r="600" spans="1:15" ht="17.5" x14ac:dyDescent="0.55000000000000004">
      <c r="A600" s="12" t="s">
        <v>848</v>
      </c>
      <c r="B600" s="6" t="s">
        <v>31</v>
      </c>
      <c r="C600" s="6" t="s">
        <v>14</v>
      </c>
      <c r="D600" s="12" t="s">
        <v>863</v>
      </c>
      <c r="E600" s="6" t="s">
        <v>16</v>
      </c>
      <c r="F600" s="6" t="s">
        <v>864</v>
      </c>
      <c r="G600" s="6" t="s">
        <v>851</v>
      </c>
      <c r="H600" s="6">
        <v>20</v>
      </c>
      <c r="I600" s="6" t="s">
        <v>852</v>
      </c>
      <c r="J600" s="6">
        <v>1</v>
      </c>
      <c r="K600" s="7" t="str">
        <f t="shared" si="8"/>
        <v>F351</v>
      </c>
      <c r="L600" s="8"/>
      <c r="M600" s="9" t="str">
        <f t="shared" si="9"/>
        <v>TIN1521</v>
      </c>
      <c r="N600" s="9">
        <f t="shared" si="10"/>
        <v>7</v>
      </c>
      <c r="O600" s="9" t="str">
        <f t="shared" si="11"/>
        <v>K/1TIN1521</v>
      </c>
    </row>
    <row r="601" spans="1:15" ht="17.5" x14ac:dyDescent="0.55000000000000004">
      <c r="A601" s="13" t="s">
        <v>848</v>
      </c>
      <c r="B601" s="11" t="s">
        <v>31</v>
      </c>
      <c r="C601" s="11" t="s">
        <v>14</v>
      </c>
      <c r="D601" s="13" t="s">
        <v>865</v>
      </c>
      <c r="E601" s="11" t="s">
        <v>16</v>
      </c>
      <c r="F601" s="11"/>
      <c r="G601" s="11" t="s">
        <v>859</v>
      </c>
      <c r="H601" s="11">
        <v>20</v>
      </c>
      <c r="I601" s="11" t="s">
        <v>852</v>
      </c>
      <c r="J601" s="11">
        <v>2</v>
      </c>
      <c r="K601" s="7" t="str">
        <f t="shared" si="8"/>
        <v>F351</v>
      </c>
      <c r="L601" s="8"/>
      <c r="M601" s="9" t="str">
        <f t="shared" si="9"/>
        <v>TIN1619</v>
      </c>
      <c r="N601" s="9">
        <f t="shared" si="10"/>
        <v>7</v>
      </c>
      <c r="O601" s="9" t="str">
        <f t="shared" si="11"/>
        <v>K/1TIN1619</v>
      </c>
    </row>
    <row r="602" spans="1:15" ht="17.5" x14ac:dyDescent="0.55000000000000004">
      <c r="A602" s="12" t="s">
        <v>848</v>
      </c>
      <c r="B602" s="6" t="s">
        <v>31</v>
      </c>
      <c r="C602" s="6" t="s">
        <v>866</v>
      </c>
      <c r="D602" s="12" t="s">
        <v>863</v>
      </c>
      <c r="E602" s="6" t="s">
        <v>50</v>
      </c>
      <c r="F602" s="6" t="s">
        <v>864</v>
      </c>
      <c r="G602" s="6" t="s">
        <v>851</v>
      </c>
      <c r="H602" s="6">
        <v>20</v>
      </c>
      <c r="I602" s="6" t="s">
        <v>852</v>
      </c>
      <c r="J602" s="6">
        <v>1</v>
      </c>
      <c r="K602" s="7" t="str">
        <f t="shared" si="8"/>
        <v>F351</v>
      </c>
      <c r="L602" s="8"/>
      <c r="M602" s="9" t="str">
        <f t="shared" si="9"/>
        <v>TIN1521</v>
      </c>
      <c r="N602" s="9">
        <f t="shared" si="10"/>
        <v>7</v>
      </c>
      <c r="O602" s="9" t="str">
        <f t="shared" si="11"/>
        <v>P/1TIN1521</v>
      </c>
    </row>
    <row r="603" spans="1:15" ht="17.5" x14ac:dyDescent="0.55000000000000004">
      <c r="A603" s="13" t="s">
        <v>848</v>
      </c>
      <c r="B603" s="11" t="s">
        <v>31</v>
      </c>
      <c r="C603" s="11" t="s">
        <v>866</v>
      </c>
      <c r="D603" s="13" t="s">
        <v>865</v>
      </c>
      <c r="E603" s="11" t="s">
        <v>50</v>
      </c>
      <c r="F603" s="11"/>
      <c r="G603" s="11" t="s">
        <v>859</v>
      </c>
      <c r="H603" s="11">
        <v>20</v>
      </c>
      <c r="I603" s="11" t="s">
        <v>852</v>
      </c>
      <c r="J603" s="11">
        <v>2</v>
      </c>
      <c r="K603" s="7" t="str">
        <f t="shared" si="8"/>
        <v>F351</v>
      </c>
      <c r="L603" s="8"/>
      <c r="M603" s="9" t="str">
        <f t="shared" si="9"/>
        <v>TIN1619</v>
      </c>
      <c r="N603" s="9">
        <f t="shared" si="10"/>
        <v>7</v>
      </c>
      <c r="O603" s="9" t="str">
        <f t="shared" si="11"/>
        <v>P/1TIN1619</v>
      </c>
    </row>
    <row r="604" spans="1:15" ht="17.5" x14ac:dyDescent="0.55000000000000004">
      <c r="A604" s="12" t="s">
        <v>848</v>
      </c>
      <c r="B604" s="6" t="s">
        <v>31</v>
      </c>
      <c r="C604" s="6" t="s">
        <v>64</v>
      </c>
      <c r="D604" s="12" t="s">
        <v>867</v>
      </c>
      <c r="E604" s="6" t="s">
        <v>16</v>
      </c>
      <c r="F604" s="6" t="s">
        <v>864</v>
      </c>
      <c r="G604" s="6" t="s">
        <v>851</v>
      </c>
      <c r="H604" s="6">
        <v>20</v>
      </c>
      <c r="I604" s="6" t="s">
        <v>852</v>
      </c>
      <c r="J604" s="6">
        <v>2</v>
      </c>
      <c r="K604" s="7" t="str">
        <f t="shared" si="8"/>
        <v>F351</v>
      </c>
      <c r="L604" s="8"/>
      <c r="M604" s="9" t="str">
        <f t="shared" si="9"/>
        <v>TIN1629</v>
      </c>
      <c r="N604" s="9">
        <f t="shared" si="10"/>
        <v>7</v>
      </c>
      <c r="O604" s="9" t="str">
        <f t="shared" si="11"/>
        <v>K/1TIN1629</v>
      </c>
    </row>
    <row r="605" spans="1:15" ht="17.5" x14ac:dyDescent="0.55000000000000004">
      <c r="A605" s="13" t="s">
        <v>848</v>
      </c>
      <c r="B605" s="11" t="s">
        <v>31</v>
      </c>
      <c r="C605" s="11" t="s">
        <v>64</v>
      </c>
      <c r="D605" s="13" t="s">
        <v>868</v>
      </c>
      <c r="E605" s="11" t="s">
        <v>16</v>
      </c>
      <c r="F605" s="11" t="s">
        <v>869</v>
      </c>
      <c r="G605" s="11" t="s">
        <v>870</v>
      </c>
      <c r="H605" s="11">
        <v>30</v>
      </c>
      <c r="I605" s="11" t="s">
        <v>852</v>
      </c>
      <c r="J605" s="11">
        <v>2</v>
      </c>
      <c r="K605" s="7" t="str">
        <f t="shared" si="8"/>
        <v>F351</v>
      </c>
      <c r="L605" s="8"/>
      <c r="M605" s="9" t="str">
        <f t="shared" si="9"/>
        <v>TIN1651</v>
      </c>
      <c r="N605" s="9">
        <f t="shared" si="10"/>
        <v>7</v>
      </c>
      <c r="O605" s="9" t="str">
        <f t="shared" si="11"/>
        <v>K/1TIN1651</v>
      </c>
    </row>
    <row r="606" spans="1:15" ht="17.5" x14ac:dyDescent="0.55000000000000004">
      <c r="A606" s="12" t="s">
        <v>848</v>
      </c>
      <c r="B606" s="6" t="s">
        <v>31</v>
      </c>
      <c r="C606" s="6" t="s">
        <v>560</v>
      </c>
      <c r="D606" s="12" t="s">
        <v>867</v>
      </c>
      <c r="E606" s="6" t="s">
        <v>144</v>
      </c>
      <c r="F606" s="6" t="s">
        <v>864</v>
      </c>
      <c r="G606" s="6" t="s">
        <v>851</v>
      </c>
      <c r="H606" s="6">
        <v>20</v>
      </c>
      <c r="I606" s="6" t="s">
        <v>852</v>
      </c>
      <c r="J606" s="6">
        <v>2</v>
      </c>
      <c r="K606" s="7" t="str">
        <f t="shared" si="8"/>
        <v>F351</v>
      </c>
      <c r="L606" s="8"/>
      <c r="M606" s="9" t="str">
        <f t="shared" si="9"/>
        <v>TIN1629</v>
      </c>
      <c r="N606" s="9">
        <f t="shared" si="10"/>
        <v>7</v>
      </c>
      <c r="O606" s="9" t="str">
        <f t="shared" si="11"/>
        <v>P/2TIN1629</v>
      </c>
    </row>
    <row r="607" spans="1:15" ht="17.5" x14ac:dyDescent="0.55000000000000004">
      <c r="A607" s="13" t="s">
        <v>848</v>
      </c>
      <c r="B607" s="11" t="s">
        <v>31</v>
      </c>
      <c r="C607" s="11" t="s">
        <v>560</v>
      </c>
      <c r="D607" s="13" t="s">
        <v>868</v>
      </c>
      <c r="E607" s="11" t="s">
        <v>50</v>
      </c>
      <c r="F607" s="11" t="s">
        <v>869</v>
      </c>
      <c r="G607" s="11" t="s">
        <v>17</v>
      </c>
      <c r="H607" s="11">
        <v>0</v>
      </c>
      <c r="I607" s="11" t="s">
        <v>852</v>
      </c>
      <c r="J607" s="11">
        <v>2</v>
      </c>
      <c r="K607" s="7" t="str">
        <f t="shared" si="8"/>
        <v>F351</v>
      </c>
      <c r="L607" s="8"/>
      <c r="M607" s="9" t="str">
        <f t="shared" si="9"/>
        <v>TIN1651</v>
      </c>
      <c r="N607" s="9">
        <f t="shared" si="10"/>
        <v>7</v>
      </c>
      <c r="O607" s="9" t="str">
        <f t="shared" si="11"/>
        <v>P/1TIN1651</v>
      </c>
    </row>
    <row r="608" spans="1:15" ht="17.5" x14ac:dyDescent="0.55000000000000004">
      <c r="A608" s="12" t="s">
        <v>848</v>
      </c>
      <c r="B608" s="6" t="s">
        <v>41</v>
      </c>
      <c r="C608" s="6" t="s">
        <v>139</v>
      </c>
      <c r="D608" s="12" t="s">
        <v>871</v>
      </c>
      <c r="E608" s="6" t="s">
        <v>16</v>
      </c>
      <c r="F608" s="6"/>
      <c r="G608" s="6" t="s">
        <v>17</v>
      </c>
      <c r="H608" s="6">
        <v>0</v>
      </c>
      <c r="I608" s="6" t="s">
        <v>872</v>
      </c>
      <c r="J608" s="6">
        <v>2</v>
      </c>
      <c r="K608" s="7" t="str">
        <f t="shared" si="8"/>
        <v>F351</v>
      </c>
      <c r="L608" s="8"/>
      <c r="M608" s="9" t="str">
        <f t="shared" si="9"/>
        <v>TIN1678</v>
      </c>
      <c r="N608" s="9">
        <f t="shared" si="10"/>
        <v>7</v>
      </c>
      <c r="O608" s="9" t="str">
        <f t="shared" si="11"/>
        <v>K/1TIN1678</v>
      </c>
    </row>
    <row r="609" spans="1:15" ht="17.5" x14ac:dyDescent="0.55000000000000004">
      <c r="A609" s="13" t="s">
        <v>848</v>
      </c>
      <c r="B609" s="11" t="s">
        <v>41</v>
      </c>
      <c r="C609" s="11" t="s">
        <v>14</v>
      </c>
      <c r="D609" s="13" t="s">
        <v>873</v>
      </c>
      <c r="E609" s="11" t="s">
        <v>16</v>
      </c>
      <c r="F609" s="11" t="s">
        <v>874</v>
      </c>
      <c r="G609" s="11" t="s">
        <v>851</v>
      </c>
      <c r="H609" s="11">
        <v>20</v>
      </c>
      <c r="I609" s="11" t="s">
        <v>852</v>
      </c>
      <c r="J609" s="11">
        <v>2</v>
      </c>
      <c r="K609" s="7" t="str">
        <f t="shared" si="8"/>
        <v>F351</v>
      </c>
      <c r="L609" s="8"/>
      <c r="M609" s="9" t="str">
        <f t="shared" si="9"/>
        <v>TIN1511</v>
      </c>
      <c r="N609" s="9">
        <f t="shared" si="10"/>
        <v>7</v>
      </c>
      <c r="O609" s="9" t="str">
        <f t="shared" si="11"/>
        <v>K/1TIN1511</v>
      </c>
    </row>
    <row r="610" spans="1:15" ht="17.5" x14ac:dyDescent="0.55000000000000004">
      <c r="A610" s="12" t="s">
        <v>848</v>
      </c>
      <c r="B610" s="6" t="s">
        <v>41</v>
      </c>
      <c r="C610" s="6" t="s">
        <v>14</v>
      </c>
      <c r="D610" s="12" t="s">
        <v>875</v>
      </c>
      <c r="E610" s="6" t="s">
        <v>16</v>
      </c>
      <c r="F610" s="6"/>
      <c r="G610" s="6" t="s">
        <v>876</v>
      </c>
      <c r="H610" s="6">
        <v>20</v>
      </c>
      <c r="I610" s="6" t="s">
        <v>872</v>
      </c>
      <c r="J610" s="6">
        <v>2</v>
      </c>
      <c r="K610" s="7" t="str">
        <f t="shared" si="8"/>
        <v>F351</v>
      </c>
      <c r="L610" s="8"/>
      <c r="M610" s="9" t="str">
        <f t="shared" si="9"/>
        <v>TIN1664</v>
      </c>
      <c r="N610" s="9">
        <f t="shared" si="10"/>
        <v>7</v>
      </c>
      <c r="O610" s="9" t="str">
        <f t="shared" si="11"/>
        <v>K/1TIN1664</v>
      </c>
    </row>
    <row r="611" spans="1:15" ht="17.5" x14ac:dyDescent="0.55000000000000004">
      <c r="A611" s="13" t="s">
        <v>848</v>
      </c>
      <c r="B611" s="11" t="s">
        <v>41</v>
      </c>
      <c r="C611" s="11" t="s">
        <v>64</v>
      </c>
      <c r="D611" s="13" t="s">
        <v>877</v>
      </c>
      <c r="E611" s="11" t="s">
        <v>16</v>
      </c>
      <c r="F611" s="11"/>
      <c r="G611" s="11" t="s">
        <v>876</v>
      </c>
      <c r="H611" s="11">
        <v>20</v>
      </c>
      <c r="I611" s="11" t="s">
        <v>872</v>
      </c>
      <c r="J611" s="11">
        <v>2</v>
      </c>
      <c r="K611" s="7" t="str">
        <f t="shared" si="8"/>
        <v>F351</v>
      </c>
      <c r="L611" s="8"/>
      <c r="M611" s="9" t="str">
        <f t="shared" si="9"/>
        <v>TIN1644</v>
      </c>
      <c r="N611" s="9">
        <f t="shared" si="10"/>
        <v>7</v>
      </c>
      <c r="O611" s="9" t="str">
        <f t="shared" si="11"/>
        <v>K/1TIN1644</v>
      </c>
    </row>
    <row r="612" spans="1:15" ht="17.5" x14ac:dyDescent="0.55000000000000004">
      <c r="A612" s="12" t="s">
        <v>848</v>
      </c>
      <c r="B612" s="6" t="s">
        <v>41</v>
      </c>
      <c r="C612" s="6" t="s">
        <v>36</v>
      </c>
      <c r="D612" s="12" t="s">
        <v>873</v>
      </c>
      <c r="E612" s="6" t="s">
        <v>50</v>
      </c>
      <c r="F612" s="6" t="s">
        <v>874</v>
      </c>
      <c r="G612" s="6" t="s">
        <v>851</v>
      </c>
      <c r="H612" s="6">
        <v>20</v>
      </c>
      <c r="I612" s="6" t="s">
        <v>852</v>
      </c>
      <c r="J612" s="6">
        <v>2</v>
      </c>
      <c r="K612" s="7" t="str">
        <f t="shared" si="8"/>
        <v>F351</v>
      </c>
      <c r="L612" s="8"/>
      <c r="M612" s="9" t="str">
        <f t="shared" si="9"/>
        <v>TIN1511</v>
      </c>
      <c r="N612" s="9">
        <f t="shared" si="10"/>
        <v>7</v>
      </c>
      <c r="O612" s="9" t="str">
        <f t="shared" si="11"/>
        <v>P/1TIN1511</v>
      </c>
    </row>
    <row r="613" spans="1:15" ht="17.5" x14ac:dyDescent="0.55000000000000004">
      <c r="A613" s="13" t="s">
        <v>848</v>
      </c>
      <c r="B613" s="11" t="s">
        <v>41</v>
      </c>
      <c r="C613" s="11" t="s">
        <v>36</v>
      </c>
      <c r="D613" s="13" t="s">
        <v>871</v>
      </c>
      <c r="E613" s="11" t="s">
        <v>50</v>
      </c>
      <c r="F613" s="11"/>
      <c r="G613" s="11" t="s">
        <v>859</v>
      </c>
      <c r="H613" s="11">
        <v>20</v>
      </c>
      <c r="I613" s="11" t="s">
        <v>872</v>
      </c>
      <c r="J613" s="11">
        <v>2</v>
      </c>
      <c r="K613" s="7" t="str">
        <f t="shared" si="8"/>
        <v>F351</v>
      </c>
      <c r="L613" s="8"/>
      <c r="M613" s="9" t="str">
        <f t="shared" si="9"/>
        <v>TIN1678</v>
      </c>
      <c r="N613" s="9">
        <f t="shared" si="10"/>
        <v>7</v>
      </c>
      <c r="O613" s="9" t="str">
        <f t="shared" si="11"/>
        <v>P/1TIN1678</v>
      </c>
    </row>
    <row r="614" spans="1:15" ht="17.5" x14ac:dyDescent="0.55000000000000004">
      <c r="A614" s="12" t="s">
        <v>848</v>
      </c>
      <c r="B614" s="6" t="s">
        <v>41</v>
      </c>
      <c r="C614" s="6" t="s">
        <v>861</v>
      </c>
      <c r="D614" s="12" t="s">
        <v>877</v>
      </c>
      <c r="E614" s="6" t="s">
        <v>50</v>
      </c>
      <c r="F614" s="6"/>
      <c r="G614" s="6" t="s">
        <v>17</v>
      </c>
      <c r="H614" s="6">
        <v>0</v>
      </c>
      <c r="I614" s="6" t="s">
        <v>872</v>
      </c>
      <c r="J614" s="6">
        <v>2</v>
      </c>
      <c r="K614" s="7" t="str">
        <f t="shared" si="8"/>
        <v>F351</v>
      </c>
      <c r="L614" s="8"/>
      <c r="M614" s="9" t="str">
        <f t="shared" si="9"/>
        <v>TIN1644</v>
      </c>
      <c r="N614" s="9">
        <f t="shared" si="10"/>
        <v>7</v>
      </c>
      <c r="O614" s="9" t="str">
        <f t="shared" si="11"/>
        <v>P/1TIN1644</v>
      </c>
    </row>
    <row r="615" spans="1:15" ht="17.5" x14ac:dyDescent="0.55000000000000004">
      <c r="A615" s="13" t="s">
        <v>848</v>
      </c>
      <c r="B615" s="11" t="s">
        <v>47</v>
      </c>
      <c r="C615" s="11" t="s">
        <v>42</v>
      </c>
      <c r="D615" s="13" t="s">
        <v>878</v>
      </c>
      <c r="E615" s="11" t="s">
        <v>50</v>
      </c>
      <c r="F615" s="11" t="s">
        <v>879</v>
      </c>
      <c r="G615" s="11" t="s">
        <v>17</v>
      </c>
      <c r="H615" s="11">
        <v>0</v>
      </c>
      <c r="I615" s="11" t="s">
        <v>852</v>
      </c>
      <c r="J615" s="11">
        <v>2</v>
      </c>
      <c r="K615" s="7" t="str">
        <f t="shared" si="8"/>
        <v>F351</v>
      </c>
      <c r="L615" s="8"/>
      <c r="M615" s="9" t="str">
        <f t="shared" si="9"/>
        <v>TIN1691</v>
      </c>
      <c r="N615" s="9">
        <f t="shared" si="10"/>
        <v>7</v>
      </c>
      <c r="O615" s="9" t="str">
        <f t="shared" si="11"/>
        <v>P/1TIN1691</v>
      </c>
    </row>
    <row r="616" spans="1:15" ht="17.5" x14ac:dyDescent="0.55000000000000004">
      <c r="A616" s="12" t="s">
        <v>848</v>
      </c>
      <c r="B616" s="6" t="s">
        <v>47</v>
      </c>
      <c r="C616" s="6" t="s">
        <v>42</v>
      </c>
      <c r="D616" s="12" t="s">
        <v>878</v>
      </c>
      <c r="E616" s="6" t="s">
        <v>144</v>
      </c>
      <c r="F616" s="6" t="s">
        <v>879</v>
      </c>
      <c r="G616" s="6" t="s">
        <v>17</v>
      </c>
      <c r="H616" s="6">
        <v>0</v>
      </c>
      <c r="I616" s="6" t="s">
        <v>852</v>
      </c>
      <c r="J616" s="6">
        <v>2</v>
      </c>
      <c r="K616" s="7" t="str">
        <f t="shared" si="8"/>
        <v>F351</v>
      </c>
      <c r="L616" s="8"/>
      <c r="M616" s="9" t="str">
        <f t="shared" si="9"/>
        <v>TIN1691</v>
      </c>
      <c r="N616" s="9">
        <f t="shared" si="10"/>
        <v>7</v>
      </c>
      <c r="O616" s="9" t="str">
        <f t="shared" si="11"/>
        <v>P/2TIN1691</v>
      </c>
    </row>
    <row r="617" spans="1:15" ht="17.5" x14ac:dyDescent="0.55000000000000004">
      <c r="A617" s="13" t="s">
        <v>848</v>
      </c>
      <c r="B617" s="11" t="s">
        <v>47</v>
      </c>
      <c r="C617" s="11" t="s">
        <v>42</v>
      </c>
      <c r="D617" s="13" t="s">
        <v>878</v>
      </c>
      <c r="E617" s="11" t="s">
        <v>880</v>
      </c>
      <c r="F617" s="11" t="s">
        <v>879</v>
      </c>
      <c r="G617" s="11" t="s">
        <v>17</v>
      </c>
      <c r="H617" s="11">
        <v>0</v>
      </c>
      <c r="I617" s="11" t="s">
        <v>852</v>
      </c>
      <c r="J617" s="11">
        <v>2</v>
      </c>
      <c r="K617" s="7" t="str">
        <f t="shared" si="8"/>
        <v>F351</v>
      </c>
      <c r="L617" s="8"/>
      <c r="M617" s="9" t="str">
        <f t="shared" si="9"/>
        <v>TIN1691</v>
      </c>
      <c r="N617" s="9">
        <f t="shared" si="10"/>
        <v>7</v>
      </c>
      <c r="O617" s="9" t="str">
        <f t="shared" si="11"/>
        <v>P/3TIN1691</v>
      </c>
    </row>
    <row r="618" spans="1:15" ht="17.5" x14ac:dyDescent="0.55000000000000004">
      <c r="A618" s="12" t="s">
        <v>848</v>
      </c>
      <c r="B618" s="6" t="s">
        <v>47</v>
      </c>
      <c r="C618" s="6" t="s">
        <v>42</v>
      </c>
      <c r="D618" s="12" t="s">
        <v>878</v>
      </c>
      <c r="E618" s="6" t="s">
        <v>452</v>
      </c>
      <c r="F618" s="6" t="s">
        <v>879</v>
      </c>
      <c r="G618" s="6" t="s">
        <v>17</v>
      </c>
      <c r="H618" s="6">
        <v>0</v>
      </c>
      <c r="I618" s="6" t="s">
        <v>852</v>
      </c>
      <c r="J618" s="6">
        <v>2</v>
      </c>
      <c r="K618" s="7" t="str">
        <f t="shared" si="8"/>
        <v>F351</v>
      </c>
      <c r="L618" s="8"/>
      <c r="M618" s="9" t="str">
        <f t="shared" si="9"/>
        <v>TIN1691</v>
      </c>
      <c r="N618" s="9">
        <f t="shared" si="10"/>
        <v>7</v>
      </c>
      <c r="O618" s="9" t="str">
        <f t="shared" si="11"/>
        <v>P/4TIN1691</v>
      </c>
    </row>
    <row r="619" spans="1:15" ht="17.5" x14ac:dyDescent="0.55000000000000004">
      <c r="A619" s="13" t="s">
        <v>848</v>
      </c>
      <c r="B619" s="11" t="s">
        <v>47</v>
      </c>
      <c r="C619" s="11" t="s">
        <v>42</v>
      </c>
      <c r="D619" s="13" t="s">
        <v>878</v>
      </c>
      <c r="E619" s="11" t="s">
        <v>881</v>
      </c>
      <c r="F619" s="11" t="s">
        <v>879</v>
      </c>
      <c r="G619" s="11" t="s">
        <v>17</v>
      </c>
      <c r="H619" s="11">
        <v>0</v>
      </c>
      <c r="I619" s="11" t="s">
        <v>852</v>
      </c>
      <c r="J619" s="11">
        <v>2</v>
      </c>
      <c r="K619" s="7" t="str">
        <f t="shared" si="8"/>
        <v>F351</v>
      </c>
      <c r="L619" s="8"/>
      <c r="M619" s="9" t="str">
        <f t="shared" si="9"/>
        <v>TIN1691</v>
      </c>
      <c r="N619" s="9">
        <f t="shared" si="10"/>
        <v>7</v>
      </c>
      <c r="O619" s="9" t="str">
        <f t="shared" si="11"/>
        <v>P/5TIN1691</v>
      </c>
    </row>
    <row r="620" spans="1:15" ht="17.5" x14ac:dyDescent="0.55000000000000004">
      <c r="A620" s="12" t="s">
        <v>848</v>
      </c>
      <c r="B620" s="6" t="s">
        <v>47</v>
      </c>
      <c r="C620" s="6" t="s">
        <v>14</v>
      </c>
      <c r="D620" s="12" t="s">
        <v>882</v>
      </c>
      <c r="E620" s="6" t="s">
        <v>16</v>
      </c>
      <c r="F620" s="6"/>
      <c r="G620" s="6" t="s">
        <v>855</v>
      </c>
      <c r="H620" s="6">
        <v>20</v>
      </c>
      <c r="I620" s="6" t="s">
        <v>872</v>
      </c>
      <c r="J620" s="6">
        <v>2</v>
      </c>
      <c r="K620" s="7" t="str">
        <f t="shared" si="8"/>
        <v>F351</v>
      </c>
      <c r="L620" s="8"/>
      <c r="M620" s="9" t="str">
        <f t="shared" si="9"/>
        <v>TIN1612</v>
      </c>
      <c r="N620" s="9">
        <f t="shared" si="10"/>
        <v>7</v>
      </c>
      <c r="O620" s="9" t="str">
        <f t="shared" si="11"/>
        <v>K/1TIN1612</v>
      </c>
    </row>
    <row r="621" spans="1:15" ht="17.5" x14ac:dyDescent="0.55000000000000004">
      <c r="A621" s="13" t="s">
        <v>848</v>
      </c>
      <c r="B621" s="11" t="s">
        <v>47</v>
      </c>
      <c r="C621" s="11" t="s">
        <v>14</v>
      </c>
      <c r="D621" s="13" t="s">
        <v>883</v>
      </c>
      <c r="E621" s="11" t="s">
        <v>16</v>
      </c>
      <c r="F621" s="11" t="s">
        <v>884</v>
      </c>
      <c r="G621" s="11" t="s">
        <v>851</v>
      </c>
      <c r="H621" s="11">
        <v>20</v>
      </c>
      <c r="I621" s="11" t="s">
        <v>852</v>
      </c>
      <c r="J621" s="11">
        <v>2</v>
      </c>
      <c r="K621" s="7" t="str">
        <f t="shared" si="8"/>
        <v>F351</v>
      </c>
      <c r="L621" s="8"/>
      <c r="M621" s="9" t="str">
        <f t="shared" si="9"/>
        <v>TIN162A</v>
      </c>
      <c r="N621" s="9">
        <f t="shared" si="10"/>
        <v>7</v>
      </c>
      <c r="O621" s="9" t="str">
        <f t="shared" si="11"/>
        <v>K/1TIN162A</v>
      </c>
    </row>
    <row r="622" spans="1:15" ht="17.5" x14ac:dyDescent="0.55000000000000004">
      <c r="A622" s="12" t="s">
        <v>848</v>
      </c>
      <c r="B622" s="6" t="s">
        <v>47</v>
      </c>
      <c r="C622" s="6" t="s">
        <v>866</v>
      </c>
      <c r="D622" s="12" t="s">
        <v>882</v>
      </c>
      <c r="E622" s="6" t="s">
        <v>50</v>
      </c>
      <c r="F622" s="6"/>
      <c r="G622" s="6" t="s">
        <v>855</v>
      </c>
      <c r="H622" s="6">
        <v>20</v>
      </c>
      <c r="I622" s="6" t="s">
        <v>872</v>
      </c>
      <c r="J622" s="6">
        <v>2</v>
      </c>
      <c r="K622" s="7" t="str">
        <f t="shared" si="8"/>
        <v>F351</v>
      </c>
      <c r="L622" s="8"/>
      <c r="M622" s="9" t="str">
        <f t="shared" si="9"/>
        <v>TIN1612</v>
      </c>
      <c r="N622" s="9">
        <f t="shared" si="10"/>
        <v>7</v>
      </c>
      <c r="O622" s="9" t="str">
        <f t="shared" si="11"/>
        <v>P/1TIN1612</v>
      </c>
    </row>
    <row r="623" spans="1:15" ht="17.5" x14ac:dyDescent="0.55000000000000004">
      <c r="A623" s="13" t="s">
        <v>848</v>
      </c>
      <c r="B623" s="11" t="s">
        <v>47</v>
      </c>
      <c r="C623" s="11" t="s">
        <v>866</v>
      </c>
      <c r="D623" s="13" t="s">
        <v>883</v>
      </c>
      <c r="E623" s="11" t="s">
        <v>50</v>
      </c>
      <c r="F623" s="11" t="s">
        <v>884</v>
      </c>
      <c r="G623" s="11" t="s">
        <v>17</v>
      </c>
      <c r="H623" s="11">
        <v>0</v>
      </c>
      <c r="I623" s="11" t="s">
        <v>852</v>
      </c>
      <c r="J623" s="11">
        <v>2</v>
      </c>
      <c r="K623" s="7" t="str">
        <f t="shared" si="8"/>
        <v>F351</v>
      </c>
      <c r="L623" s="8"/>
      <c r="M623" s="9" t="str">
        <f t="shared" si="9"/>
        <v>TIN162A</v>
      </c>
      <c r="N623" s="9">
        <f t="shared" si="10"/>
        <v>7</v>
      </c>
      <c r="O623" s="9" t="str">
        <f t="shared" si="11"/>
        <v>P/1TIN162A</v>
      </c>
    </row>
    <row r="624" spans="1:15" ht="17.5" x14ac:dyDescent="0.55000000000000004">
      <c r="A624" s="12" t="s">
        <v>848</v>
      </c>
      <c r="B624" s="6" t="s">
        <v>47</v>
      </c>
      <c r="C624" s="6" t="s">
        <v>385</v>
      </c>
      <c r="D624" s="12" t="s">
        <v>885</v>
      </c>
      <c r="E624" s="6" t="s">
        <v>50</v>
      </c>
      <c r="F624" s="6" t="s">
        <v>879</v>
      </c>
      <c r="G624" s="6" t="s">
        <v>876</v>
      </c>
      <c r="H624" s="6">
        <v>20</v>
      </c>
      <c r="I624" s="6" t="s">
        <v>852</v>
      </c>
      <c r="J624" s="6">
        <v>2</v>
      </c>
      <c r="K624" s="7" t="str">
        <f t="shared" si="8"/>
        <v>F351</v>
      </c>
      <c r="L624" s="8"/>
      <c r="M624" s="9" t="str">
        <f t="shared" si="9"/>
        <v>TIN1692</v>
      </c>
      <c r="N624" s="9">
        <f t="shared" si="10"/>
        <v>7</v>
      </c>
      <c r="O624" s="9" t="str">
        <f t="shared" si="11"/>
        <v>P/1TIN1692</v>
      </c>
    </row>
    <row r="625" spans="1:15" ht="17.5" x14ac:dyDescent="0.55000000000000004">
      <c r="A625" s="13" t="s">
        <v>848</v>
      </c>
      <c r="B625" s="11" t="s">
        <v>47</v>
      </c>
      <c r="C625" s="11" t="s">
        <v>64</v>
      </c>
      <c r="D625" s="13" t="s">
        <v>886</v>
      </c>
      <c r="E625" s="11" t="s">
        <v>16</v>
      </c>
      <c r="F625" s="11" t="s">
        <v>887</v>
      </c>
      <c r="G625" s="11" t="s">
        <v>888</v>
      </c>
      <c r="H625" s="11">
        <v>20</v>
      </c>
      <c r="I625" s="11" t="s">
        <v>889</v>
      </c>
      <c r="J625" s="11">
        <v>2</v>
      </c>
      <c r="K625" s="7" t="str">
        <f t="shared" si="8"/>
        <v>F351</v>
      </c>
      <c r="L625" s="8"/>
      <c r="M625" s="9" t="str">
        <f t="shared" si="9"/>
        <v>TIN1631</v>
      </c>
      <c r="N625" s="9">
        <f t="shared" si="10"/>
        <v>7</v>
      </c>
      <c r="O625" s="9" t="str">
        <f t="shared" si="11"/>
        <v>K/1TIN1631</v>
      </c>
    </row>
    <row r="626" spans="1:15" ht="17.5" x14ac:dyDescent="0.55000000000000004">
      <c r="A626" s="12" t="s">
        <v>848</v>
      </c>
      <c r="B626" s="6" t="s">
        <v>47</v>
      </c>
      <c r="C626" s="6" t="s">
        <v>64</v>
      </c>
      <c r="D626" s="12" t="s">
        <v>890</v>
      </c>
      <c r="E626" s="6" t="s">
        <v>16</v>
      </c>
      <c r="F626" s="6"/>
      <c r="G626" s="6" t="s">
        <v>855</v>
      </c>
      <c r="H626" s="6">
        <v>20</v>
      </c>
      <c r="I626" s="6" t="s">
        <v>872</v>
      </c>
      <c r="J626" s="6">
        <v>2</v>
      </c>
      <c r="K626" s="7" t="str">
        <f t="shared" si="8"/>
        <v>F351</v>
      </c>
      <c r="L626" s="8"/>
      <c r="M626" s="9" t="str">
        <f t="shared" si="9"/>
        <v>TIN1633</v>
      </c>
      <c r="N626" s="9">
        <f t="shared" si="10"/>
        <v>7</v>
      </c>
      <c r="O626" s="9" t="str">
        <f t="shared" si="11"/>
        <v>K/1TIN1633</v>
      </c>
    </row>
    <row r="627" spans="1:15" ht="17.5" x14ac:dyDescent="0.55000000000000004">
      <c r="A627" s="13" t="s">
        <v>848</v>
      </c>
      <c r="B627" s="11" t="s">
        <v>47</v>
      </c>
      <c r="C627" s="11" t="s">
        <v>36</v>
      </c>
      <c r="D627" s="13" t="s">
        <v>878</v>
      </c>
      <c r="E627" s="11" t="s">
        <v>891</v>
      </c>
      <c r="F627" s="11" t="s">
        <v>879</v>
      </c>
      <c r="G627" s="11" t="s">
        <v>17</v>
      </c>
      <c r="H627" s="11">
        <v>0</v>
      </c>
      <c r="I627" s="11" t="s">
        <v>852</v>
      </c>
      <c r="J627" s="11">
        <v>2</v>
      </c>
      <c r="K627" s="7" t="str">
        <f t="shared" si="8"/>
        <v>F351</v>
      </c>
      <c r="L627" s="8"/>
      <c r="M627" s="9" t="str">
        <f t="shared" si="9"/>
        <v>TIN1691</v>
      </c>
      <c r="N627" s="9">
        <f t="shared" si="10"/>
        <v>7</v>
      </c>
      <c r="O627" s="9" t="str">
        <f t="shared" si="11"/>
        <v>P/10TIN1691</v>
      </c>
    </row>
    <row r="628" spans="1:15" ht="17.5" x14ac:dyDescent="0.55000000000000004">
      <c r="A628" s="12" t="s">
        <v>848</v>
      </c>
      <c r="B628" s="6" t="s">
        <v>47</v>
      </c>
      <c r="C628" s="6" t="s">
        <v>36</v>
      </c>
      <c r="D628" s="12" t="s">
        <v>878</v>
      </c>
      <c r="E628" s="6" t="s">
        <v>892</v>
      </c>
      <c r="F628" s="6" t="s">
        <v>879</v>
      </c>
      <c r="G628" s="6" t="s">
        <v>17</v>
      </c>
      <c r="H628" s="6">
        <v>0</v>
      </c>
      <c r="I628" s="6" t="s">
        <v>852</v>
      </c>
      <c r="J628" s="6">
        <v>2</v>
      </c>
      <c r="K628" s="7" t="str">
        <f t="shared" si="8"/>
        <v>F351</v>
      </c>
      <c r="L628" s="8"/>
      <c r="M628" s="9" t="str">
        <f t="shared" si="9"/>
        <v>TIN1691</v>
      </c>
      <c r="N628" s="9">
        <f t="shared" si="10"/>
        <v>7</v>
      </c>
      <c r="O628" s="9" t="str">
        <f t="shared" si="11"/>
        <v>P/6TIN1691</v>
      </c>
    </row>
    <row r="629" spans="1:15" ht="17.5" x14ac:dyDescent="0.55000000000000004">
      <c r="A629" s="13" t="s">
        <v>848</v>
      </c>
      <c r="B629" s="11" t="s">
        <v>47</v>
      </c>
      <c r="C629" s="11" t="s">
        <v>36</v>
      </c>
      <c r="D629" s="13" t="s">
        <v>878</v>
      </c>
      <c r="E629" s="11" t="s">
        <v>893</v>
      </c>
      <c r="F629" s="11" t="s">
        <v>879</v>
      </c>
      <c r="G629" s="11" t="s">
        <v>17</v>
      </c>
      <c r="H629" s="11">
        <v>0</v>
      </c>
      <c r="I629" s="11" t="s">
        <v>852</v>
      </c>
      <c r="J629" s="11">
        <v>2</v>
      </c>
      <c r="K629" s="7" t="str">
        <f t="shared" si="8"/>
        <v>F351</v>
      </c>
      <c r="L629" s="8"/>
      <c r="M629" s="9" t="str">
        <f t="shared" si="9"/>
        <v>TIN1691</v>
      </c>
      <c r="N629" s="9">
        <f t="shared" si="10"/>
        <v>7</v>
      </c>
      <c r="O629" s="9" t="str">
        <f t="shared" si="11"/>
        <v>P/7TIN1691</v>
      </c>
    </row>
    <row r="630" spans="1:15" ht="17.5" x14ac:dyDescent="0.55000000000000004">
      <c r="A630" s="12" t="s">
        <v>848</v>
      </c>
      <c r="B630" s="6" t="s">
        <v>47</v>
      </c>
      <c r="C630" s="6" t="s">
        <v>36</v>
      </c>
      <c r="D630" s="12" t="s">
        <v>878</v>
      </c>
      <c r="E630" s="6" t="s">
        <v>894</v>
      </c>
      <c r="F630" s="6" t="s">
        <v>879</v>
      </c>
      <c r="G630" s="6" t="s">
        <v>17</v>
      </c>
      <c r="H630" s="6">
        <v>0</v>
      </c>
      <c r="I630" s="6" t="s">
        <v>852</v>
      </c>
      <c r="J630" s="6">
        <v>2</v>
      </c>
      <c r="K630" s="7" t="str">
        <f t="shared" si="8"/>
        <v>F351</v>
      </c>
      <c r="L630" s="8"/>
      <c r="M630" s="9" t="str">
        <f t="shared" si="9"/>
        <v>TIN1691</v>
      </c>
      <c r="N630" s="9">
        <f t="shared" si="10"/>
        <v>7</v>
      </c>
      <c r="O630" s="9" t="str">
        <f t="shared" si="11"/>
        <v>P/8TIN1691</v>
      </c>
    </row>
    <row r="631" spans="1:15" ht="17.5" x14ac:dyDescent="0.55000000000000004">
      <c r="A631" s="13" t="s">
        <v>848</v>
      </c>
      <c r="B631" s="11" t="s">
        <v>47</v>
      </c>
      <c r="C631" s="11" t="s">
        <v>36</v>
      </c>
      <c r="D631" s="13" t="s">
        <v>878</v>
      </c>
      <c r="E631" s="11" t="s">
        <v>895</v>
      </c>
      <c r="F631" s="11" t="s">
        <v>879</v>
      </c>
      <c r="G631" s="11" t="s">
        <v>17</v>
      </c>
      <c r="H631" s="11">
        <v>0</v>
      </c>
      <c r="I631" s="11" t="s">
        <v>852</v>
      </c>
      <c r="J631" s="11">
        <v>2</v>
      </c>
      <c r="K631" s="7" t="str">
        <f t="shared" si="8"/>
        <v>F351</v>
      </c>
      <c r="L631" s="8"/>
      <c r="M631" s="9" t="str">
        <f t="shared" si="9"/>
        <v>TIN1691</v>
      </c>
      <c r="N631" s="9">
        <f t="shared" si="10"/>
        <v>7</v>
      </c>
      <c r="O631" s="9" t="str">
        <f t="shared" si="11"/>
        <v>P/9TIN1691</v>
      </c>
    </row>
    <row r="632" spans="1:15" ht="17.5" x14ac:dyDescent="0.55000000000000004">
      <c r="A632" s="12" t="s">
        <v>848</v>
      </c>
      <c r="B632" s="6" t="s">
        <v>47</v>
      </c>
      <c r="C632" s="6" t="s">
        <v>861</v>
      </c>
      <c r="D632" s="12" t="s">
        <v>890</v>
      </c>
      <c r="E632" s="6" t="s">
        <v>50</v>
      </c>
      <c r="F632" s="6"/>
      <c r="G632" s="6" t="s">
        <v>855</v>
      </c>
      <c r="H632" s="6">
        <v>20</v>
      </c>
      <c r="I632" s="6" t="s">
        <v>872</v>
      </c>
      <c r="J632" s="6">
        <v>2</v>
      </c>
      <c r="K632" s="7" t="str">
        <f t="shared" si="8"/>
        <v>F351</v>
      </c>
      <c r="L632" s="8"/>
      <c r="M632" s="9" t="str">
        <f t="shared" si="9"/>
        <v>TIN1633</v>
      </c>
      <c r="N632" s="9">
        <f t="shared" si="10"/>
        <v>7</v>
      </c>
      <c r="O632" s="9" t="str">
        <f t="shared" si="11"/>
        <v>P/1TIN1633</v>
      </c>
    </row>
    <row r="633" spans="1:15" ht="17.5" x14ac:dyDescent="0.55000000000000004">
      <c r="A633" s="13" t="s">
        <v>848</v>
      </c>
      <c r="B633" s="11" t="s">
        <v>47</v>
      </c>
      <c r="C633" s="11" t="s">
        <v>138</v>
      </c>
      <c r="D633" s="13" t="s">
        <v>886</v>
      </c>
      <c r="E633" s="11" t="s">
        <v>50</v>
      </c>
      <c r="F633" s="11" t="s">
        <v>887</v>
      </c>
      <c r="G633" s="11" t="s">
        <v>17</v>
      </c>
      <c r="H633" s="11">
        <v>0</v>
      </c>
      <c r="I633" s="11" t="s">
        <v>889</v>
      </c>
      <c r="J633" s="11">
        <v>2</v>
      </c>
      <c r="K633" s="7" t="str">
        <f t="shared" si="8"/>
        <v>F351</v>
      </c>
      <c r="L633" s="8"/>
      <c r="M633" s="9" t="str">
        <f t="shared" si="9"/>
        <v>TIN1631</v>
      </c>
      <c r="N633" s="9">
        <f t="shared" si="10"/>
        <v>7</v>
      </c>
      <c r="O633" s="9" t="str">
        <f t="shared" si="11"/>
        <v>P/1TIN1631</v>
      </c>
    </row>
    <row r="634" spans="1:15" ht="17.5" x14ac:dyDescent="0.55000000000000004">
      <c r="A634" s="12" t="s">
        <v>848</v>
      </c>
      <c r="B634" s="6" t="s">
        <v>47</v>
      </c>
      <c r="C634" s="6" t="s">
        <v>896</v>
      </c>
      <c r="D634" s="12" t="s">
        <v>878</v>
      </c>
      <c r="E634" s="6" t="s">
        <v>897</v>
      </c>
      <c r="F634" s="6" t="s">
        <v>879</v>
      </c>
      <c r="G634" s="6" t="s">
        <v>17</v>
      </c>
      <c r="H634" s="6">
        <v>0</v>
      </c>
      <c r="I634" s="6" t="s">
        <v>852</v>
      </c>
      <c r="J634" s="6">
        <v>2</v>
      </c>
      <c r="K634" s="7" t="str">
        <f t="shared" si="8"/>
        <v>F351</v>
      </c>
      <c r="L634" s="8"/>
      <c r="M634" s="9" t="str">
        <f t="shared" si="9"/>
        <v>TIN1691</v>
      </c>
      <c r="N634" s="9">
        <f t="shared" si="10"/>
        <v>7</v>
      </c>
      <c r="O634" s="9" t="str">
        <f t="shared" si="11"/>
        <v>P/11TIN1691</v>
      </c>
    </row>
    <row r="635" spans="1:15" ht="17.5" x14ac:dyDescent="0.55000000000000004">
      <c r="A635" s="13" t="s">
        <v>848</v>
      </c>
      <c r="B635" s="11" t="s">
        <v>47</v>
      </c>
      <c r="C635" s="11" t="s">
        <v>896</v>
      </c>
      <c r="D635" s="13" t="s">
        <v>878</v>
      </c>
      <c r="E635" s="11" t="s">
        <v>898</v>
      </c>
      <c r="F635" s="11" t="s">
        <v>879</v>
      </c>
      <c r="G635" s="11" t="s">
        <v>17</v>
      </c>
      <c r="H635" s="11">
        <v>0</v>
      </c>
      <c r="I635" s="11" t="s">
        <v>852</v>
      </c>
      <c r="J635" s="11">
        <v>2</v>
      </c>
      <c r="K635" s="7" t="str">
        <f t="shared" si="8"/>
        <v>F351</v>
      </c>
      <c r="L635" s="8"/>
      <c r="M635" s="9" t="str">
        <f t="shared" si="9"/>
        <v>TIN1691</v>
      </c>
      <c r="N635" s="9">
        <f t="shared" si="10"/>
        <v>7</v>
      </c>
      <c r="O635" s="9" t="str">
        <f t="shared" si="11"/>
        <v>P/12TIN1691</v>
      </c>
    </row>
    <row r="636" spans="1:15" ht="17.5" x14ac:dyDescent="0.55000000000000004">
      <c r="A636" s="12" t="s">
        <v>848</v>
      </c>
      <c r="B636" s="6" t="s">
        <v>47</v>
      </c>
      <c r="C636" s="6" t="s">
        <v>896</v>
      </c>
      <c r="D636" s="12" t="s">
        <v>878</v>
      </c>
      <c r="E636" s="6" t="s">
        <v>899</v>
      </c>
      <c r="F636" s="6" t="s">
        <v>879</v>
      </c>
      <c r="G636" s="6" t="s">
        <v>17</v>
      </c>
      <c r="H636" s="6">
        <v>0</v>
      </c>
      <c r="I636" s="6" t="s">
        <v>852</v>
      </c>
      <c r="J636" s="6">
        <v>2</v>
      </c>
      <c r="K636" s="7" t="str">
        <f t="shared" si="8"/>
        <v>F351</v>
      </c>
      <c r="L636" s="8"/>
      <c r="M636" s="9" t="str">
        <f t="shared" si="9"/>
        <v>TIN1691</v>
      </c>
      <c r="N636" s="9">
        <f t="shared" si="10"/>
        <v>7</v>
      </c>
      <c r="O636" s="9" t="str">
        <f t="shared" si="11"/>
        <v>P/13TIN1691</v>
      </c>
    </row>
    <row r="637" spans="1:15" ht="17.5" x14ac:dyDescent="0.55000000000000004">
      <c r="A637" s="13" t="s">
        <v>848</v>
      </c>
      <c r="B637" s="11" t="s">
        <v>47</v>
      </c>
      <c r="C637" s="11" t="s">
        <v>896</v>
      </c>
      <c r="D637" s="13" t="s">
        <v>878</v>
      </c>
      <c r="E637" s="11" t="s">
        <v>900</v>
      </c>
      <c r="F637" s="11" t="s">
        <v>879</v>
      </c>
      <c r="G637" s="11" t="s">
        <v>17</v>
      </c>
      <c r="H637" s="11">
        <v>0</v>
      </c>
      <c r="I637" s="11" t="s">
        <v>852</v>
      </c>
      <c r="J637" s="11">
        <v>2</v>
      </c>
      <c r="K637" s="7" t="str">
        <f t="shared" si="8"/>
        <v>F351</v>
      </c>
      <c r="L637" s="8"/>
      <c r="M637" s="9" t="str">
        <f t="shared" si="9"/>
        <v>TIN1691</v>
      </c>
      <c r="N637" s="9">
        <f t="shared" si="10"/>
        <v>7</v>
      </c>
      <c r="O637" s="9" t="str">
        <f t="shared" si="11"/>
        <v>P/14TIN1691</v>
      </c>
    </row>
    <row r="638" spans="1:15" ht="17.5" x14ac:dyDescent="0.55000000000000004">
      <c r="A638" s="12" t="s">
        <v>848</v>
      </c>
      <c r="B638" s="6" t="s">
        <v>47</v>
      </c>
      <c r="C638" s="6" t="s">
        <v>896</v>
      </c>
      <c r="D638" s="12" t="s">
        <v>878</v>
      </c>
      <c r="E638" s="6" t="s">
        <v>901</v>
      </c>
      <c r="F638" s="6" t="s">
        <v>879</v>
      </c>
      <c r="G638" s="6" t="s">
        <v>17</v>
      </c>
      <c r="H638" s="6">
        <v>0</v>
      </c>
      <c r="I638" s="6" t="s">
        <v>852</v>
      </c>
      <c r="J638" s="6">
        <v>2</v>
      </c>
      <c r="K638" s="7" t="str">
        <f t="shared" si="8"/>
        <v>F351</v>
      </c>
      <c r="L638" s="8"/>
      <c r="M638" s="9" t="str">
        <f t="shared" si="9"/>
        <v>TIN1691</v>
      </c>
      <c r="N638" s="9">
        <f t="shared" si="10"/>
        <v>7</v>
      </c>
      <c r="O638" s="9" t="str">
        <f t="shared" si="11"/>
        <v>P/15TIN1691</v>
      </c>
    </row>
    <row r="639" spans="1:15" ht="17.5" x14ac:dyDescent="0.55000000000000004">
      <c r="A639" s="13" t="s">
        <v>848</v>
      </c>
      <c r="B639" s="11" t="s">
        <v>47</v>
      </c>
      <c r="C639" s="11" t="s">
        <v>896</v>
      </c>
      <c r="D639" s="13" t="s">
        <v>878</v>
      </c>
      <c r="E639" s="11" t="s">
        <v>902</v>
      </c>
      <c r="F639" s="11" t="s">
        <v>879</v>
      </c>
      <c r="G639" s="11" t="s">
        <v>17</v>
      </c>
      <c r="H639" s="11">
        <v>0</v>
      </c>
      <c r="I639" s="11" t="s">
        <v>852</v>
      </c>
      <c r="J639" s="11">
        <v>2</v>
      </c>
      <c r="K639" s="7" t="str">
        <f t="shared" si="8"/>
        <v>F351</v>
      </c>
      <c r="L639" s="8"/>
      <c r="M639" s="9" t="str">
        <f t="shared" si="9"/>
        <v>TIN1691</v>
      </c>
      <c r="N639" s="9">
        <f t="shared" si="10"/>
        <v>7</v>
      </c>
      <c r="O639" s="9" t="str">
        <f t="shared" si="11"/>
        <v>P/16TIN1691</v>
      </c>
    </row>
    <row r="640" spans="1:15" ht="17.5" x14ac:dyDescent="0.55000000000000004">
      <c r="A640" s="12" t="s">
        <v>848</v>
      </c>
      <c r="B640" s="6" t="s">
        <v>52</v>
      </c>
      <c r="C640" s="6" t="s">
        <v>14</v>
      </c>
      <c r="D640" s="12" t="s">
        <v>903</v>
      </c>
      <c r="E640" s="6" t="s">
        <v>16</v>
      </c>
      <c r="F640" s="6" t="s">
        <v>904</v>
      </c>
      <c r="G640" s="6" t="s">
        <v>876</v>
      </c>
      <c r="H640" s="6">
        <v>20</v>
      </c>
      <c r="I640" s="6" t="s">
        <v>852</v>
      </c>
      <c r="J640" s="6">
        <v>2</v>
      </c>
      <c r="K640" s="7" t="str">
        <f t="shared" si="8"/>
        <v>F351</v>
      </c>
      <c r="L640" s="8"/>
      <c r="M640" s="9" t="str">
        <f t="shared" si="9"/>
        <v>TIN1676</v>
      </c>
      <c r="N640" s="9">
        <f t="shared" si="10"/>
        <v>7</v>
      </c>
      <c r="O640" s="9" t="str">
        <f t="shared" si="11"/>
        <v>K/1TIN1676</v>
      </c>
    </row>
    <row r="641" spans="1:15" ht="17.5" x14ac:dyDescent="0.55000000000000004">
      <c r="A641" s="13" t="s">
        <v>848</v>
      </c>
      <c r="B641" s="11" t="s">
        <v>52</v>
      </c>
      <c r="C641" s="11" t="s">
        <v>866</v>
      </c>
      <c r="D641" s="13" t="s">
        <v>903</v>
      </c>
      <c r="E641" s="11" t="s">
        <v>50</v>
      </c>
      <c r="F641" s="11" t="s">
        <v>904</v>
      </c>
      <c r="G641" s="11" t="s">
        <v>876</v>
      </c>
      <c r="H641" s="11">
        <v>20</v>
      </c>
      <c r="I641" s="11" t="s">
        <v>852</v>
      </c>
      <c r="J641" s="11">
        <v>2</v>
      </c>
      <c r="K641" s="7" t="str">
        <f t="shared" si="8"/>
        <v>F351</v>
      </c>
      <c r="L641" s="8"/>
      <c r="M641" s="9" t="str">
        <f t="shared" si="9"/>
        <v>TIN1676</v>
      </c>
      <c r="N641" s="9">
        <f t="shared" si="10"/>
        <v>7</v>
      </c>
      <c r="O641" s="9" t="str">
        <f t="shared" si="11"/>
        <v>P/1TIN1676</v>
      </c>
    </row>
    <row r="642" spans="1:15" ht="17.5" x14ac:dyDescent="0.55000000000000004">
      <c r="A642" s="12" t="s">
        <v>848</v>
      </c>
      <c r="B642" s="6" t="s">
        <v>52</v>
      </c>
      <c r="C642" s="6" t="s">
        <v>64</v>
      </c>
      <c r="D642" s="12" t="s">
        <v>905</v>
      </c>
      <c r="E642" s="6" t="s">
        <v>16</v>
      </c>
      <c r="F642" s="6"/>
      <c r="G642" s="6" t="s">
        <v>876</v>
      </c>
      <c r="H642" s="6">
        <v>20</v>
      </c>
      <c r="I642" s="6" t="s">
        <v>872</v>
      </c>
      <c r="J642" s="6">
        <v>2</v>
      </c>
      <c r="K642" s="7" t="str">
        <f t="shared" si="8"/>
        <v>F351</v>
      </c>
      <c r="L642" s="8"/>
      <c r="M642" s="9" t="str">
        <f t="shared" si="9"/>
        <v>TIN1663</v>
      </c>
      <c r="N642" s="9">
        <f t="shared" si="10"/>
        <v>7</v>
      </c>
      <c r="O642" s="9" t="str">
        <f t="shared" si="11"/>
        <v>K/1TIN1663</v>
      </c>
    </row>
    <row r="643" spans="1:15" ht="17.5" x14ac:dyDescent="0.55000000000000004">
      <c r="A643" s="13" t="s">
        <v>848</v>
      </c>
      <c r="B643" s="11" t="s">
        <v>52</v>
      </c>
      <c r="C643" s="11" t="s">
        <v>36</v>
      </c>
      <c r="D643" s="13" t="s">
        <v>906</v>
      </c>
      <c r="E643" s="11" t="s">
        <v>16</v>
      </c>
      <c r="F643" s="11"/>
      <c r="G643" s="11" t="s">
        <v>851</v>
      </c>
      <c r="H643" s="11">
        <v>20</v>
      </c>
      <c r="I643" s="11" t="s">
        <v>852</v>
      </c>
      <c r="J643" s="11">
        <v>2</v>
      </c>
      <c r="K643" s="7" t="str">
        <f t="shared" si="8"/>
        <v>F351</v>
      </c>
      <c r="L643" s="8"/>
      <c r="M643" s="9" t="str">
        <f t="shared" si="9"/>
        <v>TIN1672</v>
      </c>
      <c r="N643" s="9">
        <f t="shared" si="10"/>
        <v>7</v>
      </c>
      <c r="O643" s="9" t="str">
        <f t="shared" si="11"/>
        <v>K/1TIN1672</v>
      </c>
    </row>
    <row r="644" spans="1:15" ht="17.5" x14ac:dyDescent="0.55000000000000004">
      <c r="A644" s="12" t="s">
        <v>848</v>
      </c>
      <c r="B644" s="6" t="s">
        <v>52</v>
      </c>
      <c r="C644" s="6" t="s">
        <v>861</v>
      </c>
      <c r="D644" s="12" t="s">
        <v>905</v>
      </c>
      <c r="E644" s="6" t="s">
        <v>50</v>
      </c>
      <c r="F644" s="6"/>
      <c r="G644" s="6" t="s">
        <v>17</v>
      </c>
      <c r="H644" s="6">
        <v>0</v>
      </c>
      <c r="I644" s="6" t="s">
        <v>872</v>
      </c>
      <c r="J644" s="6">
        <v>2</v>
      </c>
      <c r="K644" s="7" t="str">
        <f t="shared" si="8"/>
        <v>F351</v>
      </c>
      <c r="L644" s="8"/>
      <c r="M644" s="9" t="str">
        <f t="shared" si="9"/>
        <v>TIN1663</v>
      </c>
      <c r="N644" s="9">
        <f t="shared" si="10"/>
        <v>7</v>
      </c>
      <c r="O644" s="9" t="str">
        <f t="shared" si="11"/>
        <v>P/1TIN1663</v>
      </c>
    </row>
    <row r="645" spans="1:15" ht="17.5" x14ac:dyDescent="0.55000000000000004">
      <c r="A645" s="10" t="s">
        <v>907</v>
      </c>
      <c r="B645" s="11" t="s">
        <v>13</v>
      </c>
      <c r="C645" s="11" t="s">
        <v>14</v>
      </c>
      <c r="D645" s="13" t="s">
        <v>908</v>
      </c>
      <c r="E645" s="11" t="s">
        <v>16</v>
      </c>
      <c r="F645" s="11" t="s">
        <v>909</v>
      </c>
      <c r="G645" s="11" t="s">
        <v>17</v>
      </c>
      <c r="H645" s="11">
        <v>0</v>
      </c>
      <c r="I645" s="11" t="s">
        <v>910</v>
      </c>
      <c r="J645" s="11">
        <v>2</v>
      </c>
      <c r="K645" s="7" t="str">
        <f t="shared" si="8"/>
        <v>F451</v>
      </c>
      <c r="L645" s="8"/>
      <c r="M645" s="9" t="str">
        <f t="shared" si="9"/>
        <v>SIL1621</v>
      </c>
      <c r="N645" s="9">
        <f t="shared" si="10"/>
        <v>7</v>
      </c>
      <c r="O645" s="9" t="str">
        <f t="shared" si="11"/>
        <v>K/1SIL1621</v>
      </c>
    </row>
    <row r="646" spans="1:15" ht="17.5" x14ac:dyDescent="0.55000000000000004">
      <c r="A646" s="5" t="s">
        <v>907</v>
      </c>
      <c r="B646" s="6" t="s">
        <v>13</v>
      </c>
      <c r="C646" s="6" t="s">
        <v>25</v>
      </c>
      <c r="D646" s="12" t="s">
        <v>911</v>
      </c>
      <c r="E646" s="6" t="s">
        <v>16</v>
      </c>
      <c r="F646" s="6" t="s">
        <v>912</v>
      </c>
      <c r="G646" s="6" t="s">
        <v>17</v>
      </c>
      <c r="H646" s="6">
        <v>0</v>
      </c>
      <c r="I646" s="6" t="s">
        <v>910</v>
      </c>
      <c r="J646" s="6">
        <v>2</v>
      </c>
      <c r="K646" s="7" t="str">
        <f t="shared" si="8"/>
        <v>F451</v>
      </c>
      <c r="L646" s="8"/>
      <c r="M646" s="9" t="str">
        <f t="shared" si="9"/>
        <v>SIL1635</v>
      </c>
      <c r="N646" s="9">
        <f t="shared" si="10"/>
        <v>7</v>
      </c>
      <c r="O646" s="9" t="str">
        <f t="shared" si="11"/>
        <v>K/1SIL1635</v>
      </c>
    </row>
    <row r="647" spans="1:15" ht="17.5" x14ac:dyDescent="0.55000000000000004">
      <c r="A647" s="10" t="s">
        <v>907</v>
      </c>
      <c r="B647" s="11" t="s">
        <v>13</v>
      </c>
      <c r="C647" s="11" t="s">
        <v>49</v>
      </c>
      <c r="D647" s="13" t="s">
        <v>911</v>
      </c>
      <c r="E647" s="11" t="s">
        <v>50</v>
      </c>
      <c r="F647" s="11" t="s">
        <v>912</v>
      </c>
      <c r="G647" s="11" t="s">
        <v>17</v>
      </c>
      <c r="H647" s="11">
        <v>0</v>
      </c>
      <c r="I647" s="11" t="s">
        <v>910</v>
      </c>
      <c r="J647" s="11">
        <v>2</v>
      </c>
      <c r="K647" s="7" t="str">
        <f t="shared" si="8"/>
        <v>F451</v>
      </c>
      <c r="L647" s="8"/>
      <c r="M647" s="9" t="str">
        <f t="shared" si="9"/>
        <v>SIL1635</v>
      </c>
      <c r="N647" s="9">
        <f t="shared" si="10"/>
        <v>7</v>
      </c>
      <c r="O647" s="9" t="str">
        <f t="shared" si="11"/>
        <v>P/1SIL1635</v>
      </c>
    </row>
    <row r="648" spans="1:15" ht="17.5" x14ac:dyDescent="0.55000000000000004">
      <c r="A648" s="5" t="s">
        <v>907</v>
      </c>
      <c r="B648" s="6" t="s">
        <v>13</v>
      </c>
      <c r="C648" s="6" t="s">
        <v>38</v>
      </c>
      <c r="D648" s="12" t="s">
        <v>913</v>
      </c>
      <c r="E648" s="6" t="s">
        <v>16</v>
      </c>
      <c r="F648" s="6" t="s">
        <v>914</v>
      </c>
      <c r="G648" s="6" t="s">
        <v>915</v>
      </c>
      <c r="H648" s="6">
        <v>0</v>
      </c>
      <c r="I648" s="6" t="s">
        <v>910</v>
      </c>
      <c r="J648" s="6">
        <v>2</v>
      </c>
      <c r="K648" s="7" t="str">
        <f t="shared" si="8"/>
        <v>F451</v>
      </c>
      <c r="L648" s="8"/>
      <c r="M648" s="9" t="str">
        <f t="shared" si="9"/>
        <v>SIL1613</v>
      </c>
      <c r="N648" s="9">
        <f t="shared" si="10"/>
        <v>7</v>
      </c>
      <c r="O648" s="9" t="str">
        <f t="shared" si="11"/>
        <v>K/1SIL1613</v>
      </c>
    </row>
    <row r="649" spans="1:15" ht="17.5" x14ac:dyDescent="0.55000000000000004">
      <c r="A649" s="10" t="s">
        <v>907</v>
      </c>
      <c r="B649" s="11" t="s">
        <v>31</v>
      </c>
      <c r="C649" s="11" t="s">
        <v>14</v>
      </c>
      <c r="D649" s="13" t="s">
        <v>916</v>
      </c>
      <c r="E649" s="11" t="s">
        <v>16</v>
      </c>
      <c r="F649" s="11" t="s">
        <v>917</v>
      </c>
      <c r="G649" s="11" t="s">
        <v>17</v>
      </c>
      <c r="H649" s="11">
        <v>0</v>
      </c>
      <c r="I649" s="11" t="s">
        <v>910</v>
      </c>
      <c r="J649" s="11">
        <v>2</v>
      </c>
      <c r="K649" s="7" t="str">
        <f t="shared" si="8"/>
        <v>F451</v>
      </c>
      <c r="L649" s="8"/>
      <c r="M649" s="9" t="str">
        <f t="shared" si="9"/>
        <v>SIL1531</v>
      </c>
      <c r="N649" s="9">
        <f t="shared" si="10"/>
        <v>7</v>
      </c>
      <c r="O649" s="9" t="str">
        <f t="shared" si="11"/>
        <v>K/1SIL1531</v>
      </c>
    </row>
    <row r="650" spans="1:15" ht="17.5" x14ac:dyDescent="0.55000000000000004">
      <c r="A650" s="5" t="s">
        <v>907</v>
      </c>
      <c r="B650" s="6" t="s">
        <v>31</v>
      </c>
      <c r="C650" s="6" t="s">
        <v>14</v>
      </c>
      <c r="D650" s="12" t="s">
        <v>918</v>
      </c>
      <c r="E650" s="6" t="s">
        <v>16</v>
      </c>
      <c r="F650" s="6" t="s">
        <v>919</v>
      </c>
      <c r="G650" s="6" t="s">
        <v>17</v>
      </c>
      <c r="H650" s="6">
        <v>0</v>
      </c>
      <c r="I650" s="6" t="s">
        <v>910</v>
      </c>
      <c r="J650" s="6">
        <v>2</v>
      </c>
      <c r="K650" s="7" t="str">
        <f t="shared" si="8"/>
        <v>F451</v>
      </c>
      <c r="L650" s="8"/>
      <c r="M650" s="9" t="str">
        <f t="shared" si="9"/>
        <v>SIL1625</v>
      </c>
      <c r="N650" s="9">
        <f t="shared" si="10"/>
        <v>7</v>
      </c>
      <c r="O650" s="9" t="str">
        <f t="shared" si="11"/>
        <v>K/1SIL1625</v>
      </c>
    </row>
    <row r="651" spans="1:15" ht="17.5" x14ac:dyDescent="0.55000000000000004">
      <c r="A651" s="10" t="s">
        <v>907</v>
      </c>
      <c r="B651" s="11" t="s">
        <v>31</v>
      </c>
      <c r="C651" s="11" t="s">
        <v>25</v>
      </c>
      <c r="D651" s="13" t="s">
        <v>920</v>
      </c>
      <c r="E651" s="11" t="s">
        <v>16</v>
      </c>
      <c r="F651" s="11" t="s">
        <v>921</v>
      </c>
      <c r="G651" s="11" t="s">
        <v>17</v>
      </c>
      <c r="H651" s="11">
        <v>0</v>
      </c>
      <c r="I651" s="11" t="s">
        <v>910</v>
      </c>
      <c r="J651" s="11">
        <v>2</v>
      </c>
      <c r="K651" s="7" t="str">
        <f t="shared" si="8"/>
        <v>F451</v>
      </c>
      <c r="L651" s="8"/>
      <c r="M651" s="9" t="str">
        <f t="shared" si="9"/>
        <v>SIL1528</v>
      </c>
      <c r="N651" s="9">
        <f t="shared" si="10"/>
        <v>7</v>
      </c>
      <c r="O651" s="9" t="str">
        <f t="shared" si="11"/>
        <v>K/1SIL1528</v>
      </c>
    </row>
    <row r="652" spans="1:15" ht="17.5" x14ac:dyDescent="0.55000000000000004">
      <c r="A652" s="5" t="s">
        <v>907</v>
      </c>
      <c r="B652" s="6" t="s">
        <v>31</v>
      </c>
      <c r="C652" s="6" t="s">
        <v>64</v>
      </c>
      <c r="D652" s="12" t="s">
        <v>922</v>
      </c>
      <c r="E652" s="6" t="s">
        <v>16</v>
      </c>
      <c r="F652" s="6" t="s">
        <v>923</v>
      </c>
      <c r="G652" s="6" t="s">
        <v>17</v>
      </c>
      <c r="H652" s="6">
        <v>0</v>
      </c>
      <c r="I652" s="6" t="s">
        <v>910</v>
      </c>
      <c r="J652" s="6">
        <v>2</v>
      </c>
      <c r="K652" s="7" t="str">
        <f t="shared" si="8"/>
        <v>F451</v>
      </c>
      <c r="L652" s="8"/>
      <c r="M652" s="9" t="str">
        <f t="shared" si="9"/>
        <v>SIL1512</v>
      </c>
      <c r="N652" s="9">
        <f t="shared" si="10"/>
        <v>7</v>
      </c>
      <c r="O652" s="9" t="str">
        <f t="shared" si="11"/>
        <v>K/1SIL1512</v>
      </c>
    </row>
    <row r="653" spans="1:15" ht="17.5" x14ac:dyDescent="0.55000000000000004">
      <c r="A653" s="10" t="s">
        <v>907</v>
      </c>
      <c r="B653" s="11" t="s">
        <v>31</v>
      </c>
      <c r="C653" s="11" t="s">
        <v>210</v>
      </c>
      <c r="D653" s="13" t="s">
        <v>924</v>
      </c>
      <c r="E653" s="11" t="s">
        <v>16</v>
      </c>
      <c r="F653" s="11" t="s">
        <v>921</v>
      </c>
      <c r="G653" s="11" t="s">
        <v>17</v>
      </c>
      <c r="H653" s="11">
        <v>0</v>
      </c>
      <c r="I653" s="11" t="s">
        <v>910</v>
      </c>
      <c r="J653" s="11">
        <v>2</v>
      </c>
      <c r="K653" s="7" t="str">
        <f t="shared" si="8"/>
        <v>F451</v>
      </c>
      <c r="L653" s="8"/>
      <c r="M653" s="9" t="str">
        <f t="shared" si="9"/>
        <v>SIL1590</v>
      </c>
      <c r="N653" s="9">
        <f t="shared" si="10"/>
        <v>7</v>
      </c>
      <c r="O653" s="9" t="str">
        <f t="shared" si="11"/>
        <v>K/1SIL1590</v>
      </c>
    </row>
    <row r="654" spans="1:15" ht="17.5" x14ac:dyDescent="0.55000000000000004">
      <c r="A654" s="5" t="s">
        <v>907</v>
      </c>
      <c r="B654" s="6" t="s">
        <v>41</v>
      </c>
      <c r="C654" s="6" t="s">
        <v>49</v>
      </c>
      <c r="D654" s="12" t="s">
        <v>916</v>
      </c>
      <c r="E654" s="6" t="s">
        <v>50</v>
      </c>
      <c r="F654" s="6" t="s">
        <v>917</v>
      </c>
      <c r="G654" s="6" t="s">
        <v>17</v>
      </c>
      <c r="H654" s="6">
        <v>0</v>
      </c>
      <c r="I654" s="6" t="s">
        <v>910</v>
      </c>
      <c r="J654" s="6">
        <v>2</v>
      </c>
      <c r="K654" s="7" t="str">
        <f t="shared" si="8"/>
        <v>F451</v>
      </c>
      <c r="L654" s="8"/>
      <c r="M654" s="9" t="str">
        <f t="shared" si="9"/>
        <v>SIL1531</v>
      </c>
      <c r="N654" s="9">
        <f t="shared" si="10"/>
        <v>7</v>
      </c>
      <c r="O654" s="9" t="str">
        <f t="shared" si="11"/>
        <v>P/1SIL1531</v>
      </c>
    </row>
    <row r="655" spans="1:15" ht="17.5" x14ac:dyDescent="0.55000000000000004">
      <c r="A655" s="10" t="s">
        <v>907</v>
      </c>
      <c r="B655" s="11" t="s">
        <v>41</v>
      </c>
      <c r="C655" s="11" t="s">
        <v>210</v>
      </c>
      <c r="D655" s="13" t="s">
        <v>925</v>
      </c>
      <c r="E655" s="11" t="s">
        <v>16</v>
      </c>
      <c r="F655" s="11" t="s">
        <v>923</v>
      </c>
      <c r="G655" s="11" t="s">
        <v>17</v>
      </c>
      <c r="H655" s="11">
        <v>0</v>
      </c>
      <c r="I655" s="11" t="s">
        <v>910</v>
      </c>
      <c r="J655" s="11">
        <v>2</v>
      </c>
      <c r="K655" s="7" t="str">
        <f t="shared" si="8"/>
        <v>F451</v>
      </c>
      <c r="L655" s="8"/>
      <c r="M655" s="9" t="str">
        <f t="shared" si="9"/>
        <v>SIL1615</v>
      </c>
      <c r="N655" s="9">
        <f t="shared" si="10"/>
        <v>7</v>
      </c>
      <c r="O655" s="9" t="str">
        <f t="shared" si="11"/>
        <v>K/1SIL1615</v>
      </c>
    </row>
    <row r="656" spans="1:15" ht="17.5" x14ac:dyDescent="0.55000000000000004">
      <c r="A656" s="5" t="s">
        <v>907</v>
      </c>
      <c r="B656" s="6" t="s">
        <v>47</v>
      </c>
      <c r="C656" s="6" t="s">
        <v>25</v>
      </c>
      <c r="D656" s="12" t="s">
        <v>926</v>
      </c>
      <c r="E656" s="6" t="s">
        <v>16</v>
      </c>
      <c r="F656" s="6" t="s">
        <v>927</v>
      </c>
      <c r="G656" s="6" t="s">
        <v>17</v>
      </c>
      <c r="H656" s="6">
        <v>0</v>
      </c>
      <c r="I656" s="6" t="s">
        <v>910</v>
      </c>
      <c r="J656" s="6">
        <v>2</v>
      </c>
      <c r="K656" s="7" t="str">
        <f t="shared" si="8"/>
        <v>F451</v>
      </c>
      <c r="L656" s="8"/>
      <c r="M656" s="9" t="str">
        <f t="shared" si="9"/>
        <v>SIL1647</v>
      </c>
      <c r="N656" s="9">
        <f t="shared" si="10"/>
        <v>7</v>
      </c>
      <c r="O656" s="9" t="str">
        <f t="shared" si="11"/>
        <v>K/1SIL1647</v>
      </c>
    </row>
    <row r="657" spans="1:15" ht="17.5" x14ac:dyDescent="0.55000000000000004">
      <c r="A657" s="10" t="s">
        <v>907</v>
      </c>
      <c r="B657" s="11" t="s">
        <v>47</v>
      </c>
      <c r="C657" s="11" t="s">
        <v>38</v>
      </c>
      <c r="D657" s="13" t="s">
        <v>928</v>
      </c>
      <c r="E657" s="11" t="s">
        <v>16</v>
      </c>
      <c r="F657" s="11" t="s">
        <v>923</v>
      </c>
      <c r="G657" s="11" t="s">
        <v>17</v>
      </c>
      <c r="H657" s="11">
        <v>0</v>
      </c>
      <c r="I657" s="11" t="s">
        <v>910</v>
      </c>
      <c r="J657" s="11">
        <v>2</v>
      </c>
      <c r="K657" s="7" t="str">
        <f t="shared" si="8"/>
        <v>F451</v>
      </c>
      <c r="L657" s="8"/>
      <c r="M657" s="9" t="str">
        <f t="shared" si="9"/>
        <v>SIL1502</v>
      </c>
      <c r="N657" s="9">
        <f t="shared" si="10"/>
        <v>7</v>
      </c>
      <c r="O657" s="9" t="str">
        <f t="shared" si="11"/>
        <v>K/1SIL1502</v>
      </c>
    </row>
    <row r="658" spans="1:15" ht="17.5" x14ac:dyDescent="0.55000000000000004">
      <c r="A658" s="5" t="s">
        <v>907</v>
      </c>
      <c r="B658" s="6" t="s">
        <v>47</v>
      </c>
      <c r="C658" s="6" t="s">
        <v>502</v>
      </c>
      <c r="D658" s="12" t="s">
        <v>924</v>
      </c>
      <c r="E658" s="6" t="s">
        <v>50</v>
      </c>
      <c r="F658" s="6" t="s">
        <v>921</v>
      </c>
      <c r="G658" s="6" t="s">
        <v>17</v>
      </c>
      <c r="H658" s="6">
        <v>0</v>
      </c>
      <c r="I658" s="6" t="s">
        <v>910</v>
      </c>
      <c r="J658" s="6">
        <v>2</v>
      </c>
      <c r="K658" s="7" t="str">
        <f t="shared" si="8"/>
        <v>F451</v>
      </c>
      <c r="L658" s="8"/>
      <c r="M658" s="9" t="str">
        <f t="shared" si="9"/>
        <v>SIL1590</v>
      </c>
      <c r="N658" s="9">
        <f t="shared" si="10"/>
        <v>7</v>
      </c>
      <c r="O658" s="9" t="str">
        <f t="shared" si="11"/>
        <v>P/1SIL1590</v>
      </c>
    </row>
    <row r="659" spans="1:15" ht="17.5" x14ac:dyDescent="0.55000000000000004">
      <c r="A659" s="13" t="s">
        <v>929</v>
      </c>
      <c r="B659" s="11" t="s">
        <v>13</v>
      </c>
      <c r="C659" s="11" t="s">
        <v>19</v>
      </c>
      <c r="D659" s="13" t="s">
        <v>930</v>
      </c>
      <c r="E659" s="11" t="s">
        <v>16</v>
      </c>
      <c r="F659" s="11" t="s">
        <v>931</v>
      </c>
      <c r="G659" s="13" t="s">
        <v>932</v>
      </c>
      <c r="H659" s="11">
        <v>60</v>
      </c>
      <c r="I659" s="11" t="s">
        <v>933</v>
      </c>
      <c r="J659" s="11">
        <v>2</v>
      </c>
      <c r="K659" s="7" t="str">
        <f t="shared" si="8"/>
        <v>G151</v>
      </c>
      <c r="L659" s="8"/>
      <c r="M659" s="9" t="str">
        <f t="shared" si="9"/>
        <v>STA1541</v>
      </c>
      <c r="N659" s="9">
        <f t="shared" si="10"/>
        <v>7</v>
      </c>
      <c r="O659" s="9" t="str">
        <f t="shared" si="11"/>
        <v>K/1STA1541</v>
      </c>
    </row>
    <row r="660" spans="1:15" ht="17.5" x14ac:dyDescent="0.55000000000000004">
      <c r="A660" s="12" t="s">
        <v>929</v>
      </c>
      <c r="B660" s="6" t="s">
        <v>13</v>
      </c>
      <c r="C660" s="6" t="s">
        <v>19</v>
      </c>
      <c r="D660" s="12" t="s">
        <v>934</v>
      </c>
      <c r="E660" s="6" t="s">
        <v>16</v>
      </c>
      <c r="F660" s="6" t="s">
        <v>935</v>
      </c>
      <c r="G660" s="12" t="s">
        <v>936</v>
      </c>
      <c r="H660" s="6">
        <v>70</v>
      </c>
      <c r="I660" s="6" t="s">
        <v>933</v>
      </c>
      <c r="J660" s="6">
        <v>2</v>
      </c>
      <c r="K660" s="7" t="str">
        <f t="shared" si="8"/>
        <v>G151</v>
      </c>
      <c r="L660" s="8"/>
      <c r="M660" s="9" t="str">
        <f t="shared" si="9"/>
        <v>STA1542</v>
      </c>
      <c r="N660" s="9">
        <f t="shared" si="10"/>
        <v>7</v>
      </c>
      <c r="O660" s="9" t="str">
        <f t="shared" si="11"/>
        <v>K/1STA1542</v>
      </c>
    </row>
    <row r="661" spans="1:15" ht="17.5" x14ac:dyDescent="0.55000000000000004">
      <c r="A661" s="13" t="s">
        <v>929</v>
      </c>
      <c r="B661" s="11" t="s">
        <v>13</v>
      </c>
      <c r="C661" s="11" t="s">
        <v>19</v>
      </c>
      <c r="D661" s="13" t="s">
        <v>937</v>
      </c>
      <c r="E661" s="11" t="s">
        <v>16</v>
      </c>
      <c r="F661" s="11" t="s">
        <v>938</v>
      </c>
      <c r="G661" s="13" t="s">
        <v>939</v>
      </c>
      <c r="H661" s="11">
        <v>60</v>
      </c>
      <c r="I661" s="11" t="s">
        <v>933</v>
      </c>
      <c r="J661" s="11">
        <v>2</v>
      </c>
      <c r="K661" s="7" t="str">
        <f t="shared" si="8"/>
        <v>G151</v>
      </c>
      <c r="L661" s="8"/>
      <c r="M661" s="9" t="str">
        <f t="shared" si="9"/>
        <v>STA1582</v>
      </c>
      <c r="N661" s="9">
        <f t="shared" si="10"/>
        <v>7</v>
      </c>
      <c r="O661" s="9" t="str">
        <f t="shared" si="11"/>
        <v>K/1STA1582</v>
      </c>
    </row>
    <row r="662" spans="1:15" ht="17.5" x14ac:dyDescent="0.55000000000000004">
      <c r="A662" s="12" t="s">
        <v>929</v>
      </c>
      <c r="B662" s="6" t="s">
        <v>13</v>
      </c>
      <c r="C662" s="6" t="s">
        <v>281</v>
      </c>
      <c r="D662" s="12" t="s">
        <v>930</v>
      </c>
      <c r="E662" s="6" t="s">
        <v>50</v>
      </c>
      <c r="F662" s="6" t="s">
        <v>931</v>
      </c>
      <c r="G662" s="12" t="s">
        <v>940</v>
      </c>
      <c r="H662" s="6">
        <v>40</v>
      </c>
      <c r="I662" s="6" t="s">
        <v>933</v>
      </c>
      <c r="J662" s="6">
        <v>2</v>
      </c>
      <c r="K662" s="7" t="str">
        <f t="shared" si="8"/>
        <v>G151</v>
      </c>
      <c r="L662" s="8"/>
      <c r="M662" s="9" t="str">
        <f t="shared" si="9"/>
        <v>STA1541</v>
      </c>
      <c r="N662" s="9">
        <f t="shared" si="10"/>
        <v>7</v>
      </c>
      <c r="O662" s="9" t="str">
        <f t="shared" si="11"/>
        <v>P/1STA1541</v>
      </c>
    </row>
    <row r="663" spans="1:15" ht="17.5" x14ac:dyDescent="0.55000000000000004">
      <c r="A663" s="13" t="s">
        <v>929</v>
      </c>
      <c r="B663" s="11" t="s">
        <v>13</v>
      </c>
      <c r="C663" s="11" t="s">
        <v>281</v>
      </c>
      <c r="D663" s="13" t="s">
        <v>934</v>
      </c>
      <c r="E663" s="11" t="s">
        <v>50</v>
      </c>
      <c r="F663" s="11" t="s">
        <v>935</v>
      </c>
      <c r="G663" s="13" t="s">
        <v>17</v>
      </c>
      <c r="H663" s="11">
        <v>0</v>
      </c>
      <c r="I663" s="11" t="s">
        <v>933</v>
      </c>
      <c r="J663" s="11">
        <v>2</v>
      </c>
      <c r="K663" s="7" t="str">
        <f t="shared" si="8"/>
        <v>G151</v>
      </c>
      <c r="L663" s="8"/>
      <c r="M663" s="9" t="str">
        <f t="shared" si="9"/>
        <v>STA1542</v>
      </c>
      <c r="N663" s="9">
        <f t="shared" si="10"/>
        <v>7</v>
      </c>
      <c r="O663" s="9" t="str">
        <f t="shared" si="11"/>
        <v>P/1STA1542</v>
      </c>
    </row>
    <row r="664" spans="1:15" ht="17.5" x14ac:dyDescent="0.55000000000000004">
      <c r="A664" s="12" t="s">
        <v>929</v>
      </c>
      <c r="B664" s="6" t="s">
        <v>13</v>
      </c>
      <c r="C664" s="6" t="s">
        <v>281</v>
      </c>
      <c r="D664" s="12" t="s">
        <v>937</v>
      </c>
      <c r="E664" s="6" t="s">
        <v>50</v>
      </c>
      <c r="F664" s="6" t="s">
        <v>938</v>
      </c>
      <c r="G664" s="12" t="s">
        <v>939</v>
      </c>
      <c r="H664" s="6">
        <v>60</v>
      </c>
      <c r="I664" s="6" t="s">
        <v>933</v>
      </c>
      <c r="J664" s="6">
        <v>2</v>
      </c>
      <c r="K664" s="7" t="str">
        <f t="shared" si="8"/>
        <v>G151</v>
      </c>
      <c r="L664" s="8"/>
      <c r="M664" s="9" t="str">
        <f t="shared" si="9"/>
        <v>STA1582</v>
      </c>
      <c r="N664" s="9">
        <f t="shared" si="10"/>
        <v>7</v>
      </c>
      <c r="O664" s="9" t="str">
        <f t="shared" si="11"/>
        <v>P/1STA1582</v>
      </c>
    </row>
    <row r="665" spans="1:15" ht="17.5" x14ac:dyDescent="0.55000000000000004">
      <c r="A665" s="13" t="s">
        <v>929</v>
      </c>
      <c r="B665" s="11" t="s">
        <v>13</v>
      </c>
      <c r="C665" s="11" t="s">
        <v>256</v>
      </c>
      <c r="D665" s="13" t="s">
        <v>941</v>
      </c>
      <c r="E665" s="11" t="s">
        <v>16</v>
      </c>
      <c r="F665" s="11" t="s">
        <v>942</v>
      </c>
      <c r="G665" s="13" t="s">
        <v>943</v>
      </c>
      <c r="H665" s="11">
        <v>60</v>
      </c>
      <c r="I665" s="11" t="s">
        <v>933</v>
      </c>
      <c r="J665" s="11">
        <v>2</v>
      </c>
      <c r="K665" s="7" t="str">
        <f t="shared" si="8"/>
        <v>G151</v>
      </c>
      <c r="L665" s="8"/>
      <c r="M665" s="9" t="str">
        <f t="shared" si="9"/>
        <v>STA1500</v>
      </c>
      <c r="N665" s="9">
        <f t="shared" si="10"/>
        <v>7</v>
      </c>
      <c r="O665" s="9" t="str">
        <f t="shared" si="11"/>
        <v>K/1STA1500</v>
      </c>
    </row>
    <row r="666" spans="1:15" ht="17.5" x14ac:dyDescent="0.55000000000000004">
      <c r="A666" s="12" t="s">
        <v>929</v>
      </c>
      <c r="B666" s="6" t="s">
        <v>13</v>
      </c>
      <c r="C666" s="6" t="s">
        <v>560</v>
      </c>
      <c r="D666" s="12" t="s">
        <v>941</v>
      </c>
      <c r="E666" s="6" t="s">
        <v>50</v>
      </c>
      <c r="F666" s="6" t="s">
        <v>942</v>
      </c>
      <c r="G666" s="12" t="s">
        <v>944</v>
      </c>
      <c r="H666" s="6">
        <v>40</v>
      </c>
      <c r="I666" s="6" t="s">
        <v>933</v>
      </c>
      <c r="J666" s="6">
        <v>2</v>
      </c>
      <c r="K666" s="7" t="str">
        <f t="shared" si="8"/>
        <v>G151</v>
      </c>
      <c r="L666" s="8"/>
      <c r="M666" s="9" t="str">
        <f t="shared" si="9"/>
        <v>STA1500</v>
      </c>
      <c r="N666" s="9">
        <f t="shared" si="10"/>
        <v>7</v>
      </c>
      <c r="O666" s="9" t="str">
        <f t="shared" si="11"/>
        <v>P/1STA1500</v>
      </c>
    </row>
    <row r="667" spans="1:15" ht="17.5" x14ac:dyDescent="0.55000000000000004">
      <c r="A667" s="13" t="s">
        <v>929</v>
      </c>
      <c r="B667" s="11" t="s">
        <v>31</v>
      </c>
      <c r="C667" s="11" t="s">
        <v>19</v>
      </c>
      <c r="D667" s="13" t="s">
        <v>945</v>
      </c>
      <c r="E667" s="11" t="s">
        <v>16</v>
      </c>
      <c r="F667" s="11" t="s">
        <v>931</v>
      </c>
      <c r="G667" s="13" t="s">
        <v>940</v>
      </c>
      <c r="H667" s="11">
        <v>40</v>
      </c>
      <c r="I667" s="11" t="s">
        <v>933</v>
      </c>
      <c r="J667" s="11">
        <v>2</v>
      </c>
      <c r="K667" s="7" t="str">
        <f t="shared" si="8"/>
        <v>G151</v>
      </c>
      <c r="L667" s="8"/>
      <c r="M667" s="9" t="str">
        <f t="shared" si="9"/>
        <v>STA1521</v>
      </c>
      <c r="N667" s="9">
        <f t="shared" si="10"/>
        <v>7</v>
      </c>
      <c r="O667" s="9" t="str">
        <f t="shared" si="11"/>
        <v>K/1STA1521</v>
      </c>
    </row>
    <row r="668" spans="1:15" ht="17.5" x14ac:dyDescent="0.55000000000000004">
      <c r="A668" s="12" t="s">
        <v>929</v>
      </c>
      <c r="B668" s="6" t="s">
        <v>31</v>
      </c>
      <c r="C668" s="6" t="s">
        <v>19</v>
      </c>
      <c r="D668" s="12" t="s">
        <v>946</v>
      </c>
      <c r="E668" s="6" t="s">
        <v>16</v>
      </c>
      <c r="F668" s="6" t="s">
        <v>947</v>
      </c>
      <c r="G668" s="12" t="s">
        <v>948</v>
      </c>
      <c r="H668" s="6">
        <v>60</v>
      </c>
      <c r="I668" s="6" t="s">
        <v>933</v>
      </c>
      <c r="J668" s="6">
        <v>2</v>
      </c>
      <c r="K668" s="7" t="str">
        <f t="shared" si="8"/>
        <v>G151</v>
      </c>
      <c r="L668" s="8"/>
      <c r="M668" s="9" t="str">
        <f t="shared" si="9"/>
        <v>STA1562</v>
      </c>
      <c r="N668" s="9">
        <f t="shared" si="10"/>
        <v>7</v>
      </c>
      <c r="O668" s="9" t="str">
        <f t="shared" si="11"/>
        <v>K/1STA1562</v>
      </c>
    </row>
    <row r="669" spans="1:15" ht="17.5" x14ac:dyDescent="0.55000000000000004">
      <c r="A669" s="13" t="s">
        <v>929</v>
      </c>
      <c r="B669" s="11" t="s">
        <v>31</v>
      </c>
      <c r="C669" s="11" t="s">
        <v>949</v>
      </c>
      <c r="D669" s="13" t="s">
        <v>946</v>
      </c>
      <c r="E669" s="11" t="s">
        <v>50</v>
      </c>
      <c r="F669" s="11" t="s">
        <v>947</v>
      </c>
      <c r="G669" s="13" t="s">
        <v>948</v>
      </c>
      <c r="H669" s="11">
        <v>60</v>
      </c>
      <c r="I669" s="11" t="s">
        <v>933</v>
      </c>
      <c r="J669" s="11">
        <v>2</v>
      </c>
      <c r="K669" s="7" t="str">
        <f t="shared" si="8"/>
        <v>G151</v>
      </c>
      <c r="L669" s="8"/>
      <c r="M669" s="9" t="str">
        <f t="shared" si="9"/>
        <v>STA1562</v>
      </c>
      <c r="N669" s="9">
        <f t="shared" si="10"/>
        <v>7</v>
      </c>
      <c r="O669" s="9" t="str">
        <f t="shared" si="11"/>
        <v>P/1STA1562</v>
      </c>
    </row>
    <row r="670" spans="1:15" ht="17.5" x14ac:dyDescent="0.55000000000000004">
      <c r="A670" s="12" t="s">
        <v>929</v>
      </c>
      <c r="B670" s="6" t="s">
        <v>31</v>
      </c>
      <c r="C670" s="6" t="s">
        <v>281</v>
      </c>
      <c r="D670" s="12" t="s">
        <v>945</v>
      </c>
      <c r="E670" s="6" t="s">
        <v>50</v>
      </c>
      <c r="F670" s="6" t="s">
        <v>931</v>
      </c>
      <c r="G670" s="12" t="s">
        <v>940</v>
      </c>
      <c r="H670" s="6">
        <v>40</v>
      </c>
      <c r="I670" s="6" t="s">
        <v>933</v>
      </c>
      <c r="J670" s="6">
        <v>2</v>
      </c>
      <c r="K670" s="7" t="str">
        <f t="shared" si="8"/>
        <v>G151</v>
      </c>
      <c r="L670" s="8"/>
      <c r="M670" s="9" t="str">
        <f t="shared" si="9"/>
        <v>STA1521</v>
      </c>
      <c r="N670" s="9">
        <f t="shared" si="10"/>
        <v>7</v>
      </c>
      <c r="O670" s="9" t="str">
        <f t="shared" si="11"/>
        <v>P/1STA1521</v>
      </c>
    </row>
    <row r="671" spans="1:15" ht="17.5" x14ac:dyDescent="0.55000000000000004">
      <c r="A671" s="13" t="s">
        <v>929</v>
      </c>
      <c r="B671" s="11" t="s">
        <v>31</v>
      </c>
      <c r="C671" s="11" t="s">
        <v>256</v>
      </c>
      <c r="D671" s="13" t="s">
        <v>941</v>
      </c>
      <c r="E671" s="11" t="s">
        <v>155</v>
      </c>
      <c r="F671" s="11" t="s">
        <v>942</v>
      </c>
      <c r="G671" s="13" t="s">
        <v>950</v>
      </c>
      <c r="H671" s="11">
        <v>40</v>
      </c>
      <c r="I671" s="11" t="s">
        <v>933</v>
      </c>
      <c r="J671" s="11">
        <v>1</v>
      </c>
      <c r="K671" s="7" t="str">
        <f t="shared" si="8"/>
        <v>G151</v>
      </c>
      <c r="L671" s="8"/>
      <c r="M671" s="9" t="str">
        <f t="shared" si="9"/>
        <v>STA1500</v>
      </c>
      <c r="N671" s="9">
        <f t="shared" si="10"/>
        <v>7</v>
      </c>
      <c r="O671" s="9" t="str">
        <f t="shared" si="11"/>
        <v>K/2STA1500</v>
      </c>
    </row>
    <row r="672" spans="1:15" ht="17.5" x14ac:dyDescent="0.55000000000000004">
      <c r="A672" s="12" t="s">
        <v>929</v>
      </c>
      <c r="B672" s="6" t="s">
        <v>31</v>
      </c>
      <c r="C672" s="6" t="s">
        <v>560</v>
      </c>
      <c r="D672" s="12" t="s">
        <v>941</v>
      </c>
      <c r="E672" s="6" t="s">
        <v>144</v>
      </c>
      <c r="F672" s="6" t="s">
        <v>942</v>
      </c>
      <c r="G672" s="12" t="s">
        <v>951</v>
      </c>
      <c r="H672" s="6">
        <v>45</v>
      </c>
      <c r="I672" s="6" t="s">
        <v>933</v>
      </c>
      <c r="J672" s="6">
        <v>2</v>
      </c>
      <c r="K672" s="7" t="str">
        <f t="shared" si="8"/>
        <v>G151</v>
      </c>
      <c r="L672" s="8"/>
      <c r="M672" s="9" t="str">
        <f t="shared" si="9"/>
        <v>STA1500</v>
      </c>
      <c r="N672" s="9">
        <f t="shared" si="10"/>
        <v>7</v>
      </c>
      <c r="O672" s="9" t="str">
        <f t="shared" si="11"/>
        <v>P/2STA1500</v>
      </c>
    </row>
    <row r="673" spans="1:15" ht="17.5" x14ac:dyDescent="0.55000000000000004">
      <c r="A673" s="13" t="s">
        <v>929</v>
      </c>
      <c r="B673" s="11" t="s">
        <v>47</v>
      </c>
      <c r="C673" s="11" t="s">
        <v>19</v>
      </c>
      <c r="D673" s="13" t="s">
        <v>952</v>
      </c>
      <c r="E673" s="11" t="s">
        <v>16</v>
      </c>
      <c r="F673" s="11" t="s">
        <v>942</v>
      </c>
      <c r="G673" s="13" t="s">
        <v>953</v>
      </c>
      <c r="H673" s="11">
        <v>40</v>
      </c>
      <c r="I673" s="11" t="s">
        <v>933</v>
      </c>
      <c r="J673" s="11">
        <v>2</v>
      </c>
      <c r="K673" s="7" t="str">
        <f t="shared" si="8"/>
        <v>G151</v>
      </c>
      <c r="L673" s="8"/>
      <c r="M673" s="9" t="str">
        <f t="shared" si="9"/>
        <v>STA1501</v>
      </c>
      <c r="N673" s="9">
        <f t="shared" si="10"/>
        <v>7</v>
      </c>
      <c r="O673" s="9" t="str">
        <f t="shared" si="11"/>
        <v>K/1STA1501</v>
      </c>
    </row>
    <row r="674" spans="1:15" ht="17.5" x14ac:dyDescent="0.55000000000000004">
      <c r="A674" s="12" t="s">
        <v>929</v>
      </c>
      <c r="B674" s="6" t="s">
        <v>47</v>
      </c>
      <c r="C674" s="6" t="s">
        <v>19</v>
      </c>
      <c r="D674" s="12" t="s">
        <v>954</v>
      </c>
      <c r="E674" s="6" t="s">
        <v>16</v>
      </c>
      <c r="F674" s="6" t="s">
        <v>955</v>
      </c>
      <c r="G674" s="12" t="s">
        <v>950</v>
      </c>
      <c r="H674" s="6">
        <v>40</v>
      </c>
      <c r="I674" s="6" t="s">
        <v>933</v>
      </c>
      <c r="J674" s="6">
        <v>2</v>
      </c>
      <c r="K674" s="7" t="str">
        <f t="shared" si="8"/>
        <v>G151</v>
      </c>
      <c r="L674" s="8"/>
      <c r="M674" s="9" t="str">
        <f t="shared" si="9"/>
        <v>STA1553</v>
      </c>
      <c r="N674" s="9">
        <f t="shared" si="10"/>
        <v>7</v>
      </c>
      <c r="O674" s="9" t="str">
        <f t="shared" si="11"/>
        <v>K/1STA1553</v>
      </c>
    </row>
    <row r="675" spans="1:15" ht="17.5" x14ac:dyDescent="0.55000000000000004">
      <c r="A675" s="13" t="s">
        <v>929</v>
      </c>
      <c r="B675" s="11" t="s">
        <v>47</v>
      </c>
      <c r="C675" s="11" t="s">
        <v>19</v>
      </c>
      <c r="D675" s="13" t="s">
        <v>956</v>
      </c>
      <c r="E675" s="11" t="s">
        <v>16</v>
      </c>
      <c r="F675" s="11" t="s">
        <v>947</v>
      </c>
      <c r="G675" s="13" t="s">
        <v>944</v>
      </c>
      <c r="H675" s="11">
        <v>40</v>
      </c>
      <c r="I675" s="11" t="s">
        <v>933</v>
      </c>
      <c r="J675" s="11">
        <v>2</v>
      </c>
      <c r="K675" s="7" t="str">
        <f t="shared" si="8"/>
        <v>G151</v>
      </c>
      <c r="L675" s="8"/>
      <c r="M675" s="9" t="str">
        <f t="shared" si="9"/>
        <v>STA1583</v>
      </c>
      <c r="N675" s="9">
        <f t="shared" si="10"/>
        <v>7</v>
      </c>
      <c r="O675" s="9" t="str">
        <f t="shared" si="11"/>
        <v>K/1STA1583</v>
      </c>
    </row>
    <row r="676" spans="1:15" ht="17.5" x14ac:dyDescent="0.55000000000000004">
      <c r="A676" s="12" t="s">
        <v>929</v>
      </c>
      <c r="B676" s="6" t="s">
        <v>47</v>
      </c>
      <c r="C676" s="6" t="s">
        <v>281</v>
      </c>
      <c r="D676" s="12" t="s">
        <v>952</v>
      </c>
      <c r="E676" s="6" t="s">
        <v>50</v>
      </c>
      <c r="F676" s="6" t="s">
        <v>942</v>
      </c>
      <c r="G676" s="12" t="s">
        <v>944</v>
      </c>
      <c r="H676" s="6">
        <v>40</v>
      </c>
      <c r="I676" s="6" t="s">
        <v>933</v>
      </c>
      <c r="J676" s="6">
        <v>2</v>
      </c>
      <c r="K676" s="7" t="str">
        <f t="shared" si="8"/>
        <v>G151</v>
      </c>
      <c r="L676" s="8"/>
      <c r="M676" s="9" t="str">
        <f t="shared" si="9"/>
        <v>STA1501</v>
      </c>
      <c r="N676" s="9">
        <f t="shared" si="10"/>
        <v>7</v>
      </c>
      <c r="O676" s="9" t="str">
        <f t="shared" si="11"/>
        <v>P/1STA1501</v>
      </c>
    </row>
    <row r="677" spans="1:15" ht="17.5" x14ac:dyDescent="0.55000000000000004">
      <c r="A677" s="13" t="s">
        <v>929</v>
      </c>
      <c r="B677" s="11" t="s">
        <v>47</v>
      </c>
      <c r="C677" s="11" t="s">
        <v>281</v>
      </c>
      <c r="D677" s="13" t="s">
        <v>954</v>
      </c>
      <c r="E677" s="11" t="s">
        <v>50</v>
      </c>
      <c r="F677" s="11" t="s">
        <v>955</v>
      </c>
      <c r="G677" s="13" t="s">
        <v>957</v>
      </c>
      <c r="H677" s="11">
        <v>40</v>
      </c>
      <c r="I677" s="11" t="s">
        <v>933</v>
      </c>
      <c r="J677" s="11">
        <v>2</v>
      </c>
      <c r="K677" s="7" t="str">
        <f t="shared" si="8"/>
        <v>G151</v>
      </c>
      <c r="L677" s="8"/>
      <c r="M677" s="9" t="str">
        <f t="shared" si="9"/>
        <v>STA1553</v>
      </c>
      <c r="N677" s="9">
        <f t="shared" si="10"/>
        <v>7</v>
      </c>
      <c r="O677" s="9" t="str">
        <f t="shared" si="11"/>
        <v>P/1STA1553</v>
      </c>
    </row>
    <row r="678" spans="1:15" ht="17.5" x14ac:dyDescent="0.55000000000000004">
      <c r="A678" s="12" t="s">
        <v>929</v>
      </c>
      <c r="B678" s="6" t="s">
        <v>47</v>
      </c>
      <c r="C678" s="6" t="s">
        <v>256</v>
      </c>
      <c r="D678" s="12" t="s">
        <v>958</v>
      </c>
      <c r="E678" s="6" t="s">
        <v>16</v>
      </c>
      <c r="F678" s="6" t="s">
        <v>959</v>
      </c>
      <c r="G678" s="12" t="s">
        <v>940</v>
      </c>
      <c r="H678" s="6">
        <v>40</v>
      </c>
      <c r="I678" s="6" t="s">
        <v>933</v>
      </c>
      <c r="J678" s="6">
        <v>2</v>
      </c>
      <c r="K678" s="7" t="str">
        <f t="shared" si="8"/>
        <v>G151</v>
      </c>
      <c r="L678" s="8"/>
      <c r="M678" s="9" t="str">
        <f t="shared" si="9"/>
        <v>STA1543</v>
      </c>
      <c r="N678" s="9">
        <f t="shared" si="10"/>
        <v>7</v>
      </c>
      <c r="O678" s="9" t="str">
        <f t="shared" si="11"/>
        <v>K/1STA1543</v>
      </c>
    </row>
    <row r="679" spans="1:15" ht="17.5" x14ac:dyDescent="0.55000000000000004">
      <c r="A679" s="13" t="s">
        <v>929</v>
      </c>
      <c r="B679" s="11" t="s">
        <v>47</v>
      </c>
      <c r="C679" s="11" t="s">
        <v>256</v>
      </c>
      <c r="D679" s="13" t="s">
        <v>956</v>
      </c>
      <c r="E679" s="11" t="s">
        <v>50</v>
      </c>
      <c r="F679" s="11" t="s">
        <v>947</v>
      </c>
      <c r="G679" s="13" t="s">
        <v>944</v>
      </c>
      <c r="H679" s="11">
        <v>40</v>
      </c>
      <c r="I679" s="11" t="s">
        <v>933</v>
      </c>
      <c r="J679" s="11">
        <v>2</v>
      </c>
      <c r="K679" s="7" t="str">
        <f t="shared" si="8"/>
        <v>G151</v>
      </c>
      <c r="L679" s="8"/>
      <c r="M679" s="9" t="str">
        <f t="shared" si="9"/>
        <v>STA1583</v>
      </c>
      <c r="N679" s="9">
        <f t="shared" si="10"/>
        <v>7</v>
      </c>
      <c r="O679" s="9" t="str">
        <f t="shared" si="11"/>
        <v>P/1STA1583</v>
      </c>
    </row>
    <row r="680" spans="1:15" ht="17.5" x14ac:dyDescent="0.55000000000000004">
      <c r="A680" s="12" t="s">
        <v>929</v>
      </c>
      <c r="B680" s="6" t="s">
        <v>47</v>
      </c>
      <c r="C680" s="6" t="s">
        <v>560</v>
      </c>
      <c r="D680" s="12" t="s">
        <v>958</v>
      </c>
      <c r="E680" s="6" t="s">
        <v>50</v>
      </c>
      <c r="F680" s="6" t="s">
        <v>959</v>
      </c>
      <c r="G680" s="12" t="s">
        <v>960</v>
      </c>
      <c r="H680" s="6">
        <v>40</v>
      </c>
      <c r="I680" s="6" t="s">
        <v>933</v>
      </c>
      <c r="J680" s="6">
        <v>2</v>
      </c>
      <c r="K680" s="7" t="str">
        <f t="shared" si="8"/>
        <v>G151</v>
      </c>
      <c r="L680" s="8"/>
      <c r="M680" s="9" t="str">
        <f t="shared" si="9"/>
        <v>STA1543</v>
      </c>
      <c r="N680" s="9">
        <f t="shared" si="10"/>
        <v>7</v>
      </c>
      <c r="O680" s="9" t="str">
        <f t="shared" si="11"/>
        <v>P/1STA1543</v>
      </c>
    </row>
    <row r="681" spans="1:15" ht="17.5" x14ac:dyDescent="0.55000000000000004">
      <c r="A681" s="13" t="s">
        <v>929</v>
      </c>
      <c r="B681" s="11" t="s">
        <v>52</v>
      </c>
      <c r="C681" s="11" t="s">
        <v>19</v>
      </c>
      <c r="D681" s="13" t="s">
        <v>961</v>
      </c>
      <c r="E681" s="11" t="s">
        <v>16</v>
      </c>
      <c r="F681" s="11"/>
      <c r="G681" s="13" t="s">
        <v>17</v>
      </c>
      <c r="H681" s="11">
        <v>0</v>
      </c>
      <c r="I681" s="11" t="s">
        <v>933</v>
      </c>
      <c r="J681" s="11">
        <v>2</v>
      </c>
      <c r="K681" s="7" t="str">
        <f t="shared" si="8"/>
        <v>G151</v>
      </c>
      <c r="L681" s="8"/>
      <c r="M681" s="9" t="str">
        <f t="shared" si="9"/>
        <v>STA1544</v>
      </c>
      <c r="N681" s="9">
        <f t="shared" si="10"/>
        <v>7</v>
      </c>
      <c r="O681" s="9" t="str">
        <f t="shared" si="11"/>
        <v>K/1STA1544</v>
      </c>
    </row>
    <row r="682" spans="1:15" ht="17.5" x14ac:dyDescent="0.55000000000000004">
      <c r="A682" s="12" t="s">
        <v>929</v>
      </c>
      <c r="B682" s="6" t="s">
        <v>52</v>
      </c>
      <c r="C682" s="6" t="s">
        <v>23</v>
      </c>
      <c r="D682" s="12" t="s">
        <v>962</v>
      </c>
      <c r="E682" s="6" t="s">
        <v>16</v>
      </c>
      <c r="F682" s="6" t="s">
        <v>963</v>
      </c>
      <c r="G682" s="12" t="s">
        <v>932</v>
      </c>
      <c r="H682" s="6">
        <v>60</v>
      </c>
      <c r="I682" s="6" t="s">
        <v>933</v>
      </c>
      <c r="J682" s="6">
        <v>2</v>
      </c>
      <c r="K682" s="7" t="str">
        <f t="shared" si="8"/>
        <v>G151</v>
      </c>
      <c r="L682" s="8"/>
      <c r="M682" s="9" t="str">
        <f t="shared" si="9"/>
        <v>STA1522</v>
      </c>
      <c r="N682" s="9">
        <f t="shared" si="10"/>
        <v>7</v>
      </c>
      <c r="O682" s="9" t="str">
        <f t="shared" si="11"/>
        <v>K/1STA1522</v>
      </c>
    </row>
    <row r="683" spans="1:15" ht="17.5" x14ac:dyDescent="0.55000000000000004">
      <c r="A683" s="13" t="s">
        <v>929</v>
      </c>
      <c r="B683" s="11" t="s">
        <v>52</v>
      </c>
      <c r="C683" s="11" t="s">
        <v>256</v>
      </c>
      <c r="D683" s="13" t="s">
        <v>962</v>
      </c>
      <c r="E683" s="11" t="s">
        <v>50</v>
      </c>
      <c r="F683" s="11" t="s">
        <v>963</v>
      </c>
      <c r="G683" s="13" t="s">
        <v>951</v>
      </c>
      <c r="H683" s="11">
        <v>45</v>
      </c>
      <c r="I683" s="11" t="s">
        <v>933</v>
      </c>
      <c r="J683" s="11">
        <v>2</v>
      </c>
      <c r="K683" s="7" t="str">
        <f t="shared" si="8"/>
        <v>G151</v>
      </c>
      <c r="L683" s="8"/>
      <c r="M683" s="9" t="str">
        <f t="shared" si="9"/>
        <v>STA1522</v>
      </c>
      <c r="N683" s="9">
        <f t="shared" si="10"/>
        <v>7</v>
      </c>
      <c r="O683" s="9" t="str">
        <f t="shared" si="11"/>
        <v>P/1STA1522</v>
      </c>
    </row>
    <row r="684" spans="1:15" ht="17.5" x14ac:dyDescent="0.55000000000000004">
      <c r="A684" s="12" t="s">
        <v>929</v>
      </c>
      <c r="B684" s="6" t="s">
        <v>52</v>
      </c>
      <c r="C684" s="6" t="s">
        <v>290</v>
      </c>
      <c r="D684" s="12" t="s">
        <v>961</v>
      </c>
      <c r="E684" s="6" t="s">
        <v>50</v>
      </c>
      <c r="F684" s="6"/>
      <c r="G684" s="12" t="s">
        <v>17</v>
      </c>
      <c r="H684" s="6">
        <v>0</v>
      </c>
      <c r="I684" s="6" t="s">
        <v>933</v>
      </c>
      <c r="J684" s="6">
        <v>2</v>
      </c>
      <c r="K684" s="7" t="str">
        <f t="shared" si="8"/>
        <v>G151</v>
      </c>
      <c r="L684" s="8"/>
      <c r="M684" s="9" t="str">
        <f t="shared" si="9"/>
        <v>STA1544</v>
      </c>
      <c r="N684" s="9">
        <f t="shared" si="10"/>
        <v>7</v>
      </c>
      <c r="O684" s="9" t="str">
        <f t="shared" si="11"/>
        <v>P/1STA1544</v>
      </c>
    </row>
    <row r="685" spans="1:15" ht="17.5" x14ac:dyDescent="0.55000000000000004">
      <c r="A685" s="13" t="s">
        <v>929</v>
      </c>
      <c r="B685" s="11" t="s">
        <v>195</v>
      </c>
      <c r="C685" s="11" t="s">
        <v>19</v>
      </c>
      <c r="D685" s="13" t="s">
        <v>964</v>
      </c>
      <c r="E685" s="11" t="s">
        <v>16</v>
      </c>
      <c r="F685" s="11"/>
      <c r="G685" s="13" t="s">
        <v>17</v>
      </c>
      <c r="H685" s="11">
        <v>0</v>
      </c>
      <c r="I685" s="11" t="s">
        <v>933</v>
      </c>
      <c r="J685" s="11">
        <v>2</v>
      </c>
      <c r="K685" s="7" t="str">
        <f t="shared" si="8"/>
        <v>G151</v>
      </c>
      <c r="L685" s="8"/>
      <c r="M685" s="9" t="str">
        <f t="shared" si="9"/>
        <v>STA1554</v>
      </c>
      <c r="N685" s="9">
        <f t="shared" si="10"/>
        <v>7</v>
      </c>
      <c r="O685" s="9" t="str">
        <f t="shared" si="11"/>
        <v>K/1STA1554</v>
      </c>
    </row>
    <row r="686" spans="1:15" ht="17.5" x14ac:dyDescent="0.55000000000000004">
      <c r="A686" s="12" t="s">
        <v>929</v>
      </c>
      <c r="B686" s="6" t="s">
        <v>195</v>
      </c>
      <c r="C686" s="6" t="s">
        <v>281</v>
      </c>
      <c r="D686" s="12" t="s">
        <v>964</v>
      </c>
      <c r="E686" s="6" t="s">
        <v>50</v>
      </c>
      <c r="F686" s="6"/>
      <c r="G686" s="12" t="s">
        <v>17</v>
      </c>
      <c r="H686" s="6">
        <v>0</v>
      </c>
      <c r="I686" s="6" t="s">
        <v>933</v>
      </c>
      <c r="J686" s="6">
        <v>2</v>
      </c>
      <c r="K686" s="7" t="str">
        <f t="shared" si="8"/>
        <v>G151</v>
      </c>
      <c r="L686" s="8"/>
      <c r="M686" s="9" t="str">
        <f t="shared" si="9"/>
        <v>STA1554</v>
      </c>
      <c r="N686" s="9">
        <f t="shared" si="10"/>
        <v>7</v>
      </c>
      <c r="O686" s="9" t="str">
        <f t="shared" si="11"/>
        <v>P/1STA1554</v>
      </c>
    </row>
    <row r="687" spans="1:15" ht="17.5" x14ac:dyDescent="0.55000000000000004">
      <c r="A687" s="10" t="s">
        <v>965</v>
      </c>
      <c r="B687" s="11" t="s">
        <v>13</v>
      </c>
      <c r="C687" s="11" t="s">
        <v>281</v>
      </c>
      <c r="D687" s="10" t="s">
        <v>966</v>
      </c>
      <c r="E687" s="11" t="s">
        <v>16</v>
      </c>
      <c r="F687" s="11" t="s">
        <v>967</v>
      </c>
      <c r="G687" s="11" t="s">
        <v>968</v>
      </c>
      <c r="H687" s="11">
        <v>20</v>
      </c>
      <c r="I687" s="11" t="s">
        <v>969</v>
      </c>
      <c r="J687" s="11">
        <v>2</v>
      </c>
      <c r="K687" s="7" t="str">
        <f t="shared" si="8"/>
        <v>G251</v>
      </c>
      <c r="L687" s="8"/>
      <c r="M687" s="9" t="str">
        <f t="shared" si="9"/>
        <v>GFM1640</v>
      </c>
      <c r="N687" s="9">
        <f t="shared" si="10"/>
        <v>7</v>
      </c>
      <c r="O687" s="9" t="str">
        <f t="shared" si="11"/>
        <v>K/1GFM1640</v>
      </c>
    </row>
    <row r="688" spans="1:15" ht="17.5" x14ac:dyDescent="0.55000000000000004">
      <c r="A688" s="5" t="s">
        <v>965</v>
      </c>
      <c r="B688" s="6" t="s">
        <v>13</v>
      </c>
      <c r="C688" s="6" t="s">
        <v>281</v>
      </c>
      <c r="D688" s="5" t="s">
        <v>970</v>
      </c>
      <c r="E688" s="6" t="s">
        <v>16</v>
      </c>
      <c r="F688" s="6" t="s">
        <v>971</v>
      </c>
      <c r="G688" s="6" t="s">
        <v>972</v>
      </c>
      <c r="H688" s="6">
        <v>20</v>
      </c>
      <c r="I688" s="6" t="s">
        <v>969</v>
      </c>
      <c r="J688" s="6">
        <v>2</v>
      </c>
      <c r="K688" s="7" t="str">
        <f t="shared" si="8"/>
        <v>G251</v>
      </c>
      <c r="L688" s="8"/>
      <c r="M688" s="9" t="str">
        <f t="shared" si="9"/>
        <v>GFM1646</v>
      </c>
      <c r="N688" s="9">
        <f t="shared" si="10"/>
        <v>7</v>
      </c>
      <c r="O688" s="9" t="str">
        <f t="shared" si="11"/>
        <v>K/1GFM1646</v>
      </c>
    </row>
    <row r="689" spans="1:15" ht="17.5" x14ac:dyDescent="0.55000000000000004">
      <c r="A689" s="10" t="s">
        <v>965</v>
      </c>
      <c r="B689" s="11" t="s">
        <v>13</v>
      </c>
      <c r="C689" s="11" t="s">
        <v>586</v>
      </c>
      <c r="D689" s="10" t="s">
        <v>973</v>
      </c>
      <c r="E689" s="11" t="s">
        <v>16</v>
      </c>
      <c r="F689" s="11" t="s">
        <v>974</v>
      </c>
      <c r="G689" s="13" t="s">
        <v>17</v>
      </c>
      <c r="H689" s="11"/>
      <c r="I689" s="11" t="s">
        <v>975</v>
      </c>
      <c r="J689" s="11">
        <v>2</v>
      </c>
      <c r="K689" s="7" t="str">
        <f t="shared" si="8"/>
        <v>G251</v>
      </c>
      <c r="L689" s="8"/>
      <c r="M689" s="9" t="str">
        <f t="shared" si="9"/>
        <v>GFM1604</v>
      </c>
      <c r="N689" s="9">
        <f t="shared" si="10"/>
        <v>7</v>
      </c>
      <c r="O689" s="9" t="str">
        <f t="shared" si="11"/>
        <v>K/1GFM1604</v>
      </c>
    </row>
    <row r="690" spans="1:15" ht="17.5" x14ac:dyDescent="0.55000000000000004">
      <c r="A690" s="5" t="s">
        <v>965</v>
      </c>
      <c r="B690" s="6" t="s">
        <v>31</v>
      </c>
      <c r="C690" s="6" t="s">
        <v>281</v>
      </c>
      <c r="D690" s="5" t="s">
        <v>976</v>
      </c>
      <c r="E690" s="6" t="s">
        <v>16</v>
      </c>
      <c r="F690" s="6" t="s">
        <v>977</v>
      </c>
      <c r="G690" s="6" t="s">
        <v>968</v>
      </c>
      <c r="H690" s="6">
        <v>20</v>
      </c>
      <c r="I690" s="6" t="s">
        <v>969</v>
      </c>
      <c r="J690" s="6">
        <v>2</v>
      </c>
      <c r="K690" s="7" t="str">
        <f t="shared" si="8"/>
        <v>G251</v>
      </c>
      <c r="L690" s="8"/>
      <c r="M690" s="9" t="str">
        <f t="shared" si="9"/>
        <v>GFM1630</v>
      </c>
      <c r="N690" s="9">
        <f t="shared" si="10"/>
        <v>7</v>
      </c>
      <c r="O690" s="9" t="str">
        <f t="shared" si="11"/>
        <v>K/1GFM1630</v>
      </c>
    </row>
    <row r="691" spans="1:15" ht="17.5" x14ac:dyDescent="0.55000000000000004">
      <c r="A691" s="10" t="s">
        <v>965</v>
      </c>
      <c r="B691" s="11" t="s">
        <v>31</v>
      </c>
      <c r="C691" s="11" t="s">
        <v>978</v>
      </c>
      <c r="D691" s="10" t="s">
        <v>979</v>
      </c>
      <c r="E691" s="11" t="s">
        <v>16</v>
      </c>
      <c r="F691" s="11" t="s">
        <v>974</v>
      </c>
      <c r="G691" s="11" t="s">
        <v>972</v>
      </c>
      <c r="H691" s="11">
        <v>20</v>
      </c>
      <c r="I691" s="11" t="s">
        <v>969</v>
      </c>
      <c r="J691" s="11">
        <v>2</v>
      </c>
      <c r="K691" s="7" t="str">
        <f t="shared" si="8"/>
        <v>G251</v>
      </c>
      <c r="L691" s="8"/>
      <c r="M691" s="9" t="str">
        <f t="shared" si="9"/>
        <v>GFM1632</v>
      </c>
      <c r="N691" s="9">
        <f t="shared" si="10"/>
        <v>7</v>
      </c>
      <c r="O691" s="9" t="str">
        <f t="shared" si="11"/>
        <v>K/1GFM1632</v>
      </c>
    </row>
    <row r="692" spans="1:15" ht="17.5" x14ac:dyDescent="0.55000000000000004">
      <c r="A692" s="5" t="s">
        <v>965</v>
      </c>
      <c r="B692" s="6" t="s">
        <v>31</v>
      </c>
      <c r="C692" s="6" t="s">
        <v>36</v>
      </c>
      <c r="D692" s="5" t="s">
        <v>979</v>
      </c>
      <c r="E692" s="6" t="s">
        <v>50</v>
      </c>
      <c r="F692" s="6" t="s">
        <v>974</v>
      </c>
      <c r="G692" s="6" t="s">
        <v>972</v>
      </c>
      <c r="H692" s="6">
        <v>20</v>
      </c>
      <c r="I692" s="6" t="s">
        <v>969</v>
      </c>
      <c r="J692" s="6">
        <v>2</v>
      </c>
      <c r="K692" s="7" t="str">
        <f t="shared" si="8"/>
        <v>G251</v>
      </c>
      <c r="L692" s="8"/>
      <c r="M692" s="9" t="str">
        <f t="shared" si="9"/>
        <v>GFM1632</v>
      </c>
      <c r="N692" s="9">
        <f t="shared" si="10"/>
        <v>7</v>
      </c>
      <c r="O692" s="9" t="str">
        <f t="shared" si="11"/>
        <v>P/1GFM1632</v>
      </c>
    </row>
    <row r="693" spans="1:15" ht="17.5" x14ac:dyDescent="0.55000000000000004">
      <c r="A693" s="10" t="s">
        <v>965</v>
      </c>
      <c r="B693" s="11" t="s">
        <v>41</v>
      </c>
      <c r="C693" s="11" t="s">
        <v>256</v>
      </c>
      <c r="D693" s="10" t="s">
        <v>980</v>
      </c>
      <c r="E693" s="11" t="s">
        <v>16</v>
      </c>
      <c r="F693" s="11" t="s">
        <v>981</v>
      </c>
      <c r="G693" s="11" t="s">
        <v>968</v>
      </c>
      <c r="H693" s="11">
        <v>20</v>
      </c>
      <c r="I693" s="11" t="s">
        <v>969</v>
      </c>
      <c r="J693" s="11">
        <v>2</v>
      </c>
      <c r="K693" s="7" t="str">
        <f t="shared" si="8"/>
        <v>G251</v>
      </c>
      <c r="L693" s="8"/>
      <c r="M693" s="9" t="str">
        <f t="shared" si="9"/>
        <v>GFM1612</v>
      </c>
      <c r="N693" s="9">
        <f t="shared" si="10"/>
        <v>7</v>
      </c>
      <c r="O693" s="9" t="str">
        <f t="shared" si="11"/>
        <v>K/1GFM1612</v>
      </c>
    </row>
    <row r="694" spans="1:15" ht="17.5" x14ac:dyDescent="0.55000000000000004">
      <c r="A694" s="5" t="s">
        <v>965</v>
      </c>
      <c r="B694" s="6" t="s">
        <v>41</v>
      </c>
      <c r="C694" s="6" t="s">
        <v>982</v>
      </c>
      <c r="D694" s="5" t="s">
        <v>980</v>
      </c>
      <c r="E694" s="6" t="s">
        <v>50</v>
      </c>
      <c r="F694" s="6" t="s">
        <v>981</v>
      </c>
      <c r="G694" s="6" t="s">
        <v>17</v>
      </c>
      <c r="H694" s="6">
        <v>0</v>
      </c>
      <c r="I694" s="6" t="s">
        <v>969</v>
      </c>
      <c r="J694" s="6">
        <v>2</v>
      </c>
      <c r="K694" s="7" t="str">
        <f t="shared" si="8"/>
        <v>G251</v>
      </c>
      <c r="L694" s="8"/>
      <c r="M694" s="9" t="str">
        <f t="shared" si="9"/>
        <v>GFM1612</v>
      </c>
      <c r="N694" s="9">
        <f t="shared" si="10"/>
        <v>7</v>
      </c>
      <c r="O694" s="9" t="str">
        <f t="shared" si="11"/>
        <v>P/1GFM1612</v>
      </c>
    </row>
    <row r="695" spans="1:15" ht="17.5" x14ac:dyDescent="0.55000000000000004">
      <c r="A695" s="10" t="s">
        <v>965</v>
      </c>
      <c r="B695" s="11" t="s">
        <v>47</v>
      </c>
      <c r="C695" s="11" t="s">
        <v>19</v>
      </c>
      <c r="D695" s="10" t="s">
        <v>983</v>
      </c>
      <c r="E695" s="11" t="s">
        <v>16</v>
      </c>
      <c r="F695" s="11" t="s">
        <v>984</v>
      </c>
      <c r="G695" s="11" t="s">
        <v>968</v>
      </c>
      <c r="H695" s="11">
        <v>20</v>
      </c>
      <c r="I695" s="11" t="s">
        <v>969</v>
      </c>
      <c r="J695" s="11">
        <v>2</v>
      </c>
      <c r="K695" s="7" t="str">
        <f t="shared" si="8"/>
        <v>G251</v>
      </c>
      <c r="L695" s="8"/>
      <c r="M695" s="9" t="str">
        <f t="shared" si="9"/>
        <v>GFM162A</v>
      </c>
      <c r="N695" s="9">
        <f t="shared" si="10"/>
        <v>7</v>
      </c>
      <c r="O695" s="9" t="str">
        <f t="shared" si="11"/>
        <v>K/1GFM162A</v>
      </c>
    </row>
    <row r="696" spans="1:15" ht="17.5" x14ac:dyDescent="0.55000000000000004">
      <c r="A696" s="5" t="s">
        <v>965</v>
      </c>
      <c r="B696" s="6" t="s">
        <v>47</v>
      </c>
      <c r="C696" s="6" t="s">
        <v>254</v>
      </c>
      <c r="D696" s="5" t="s">
        <v>983</v>
      </c>
      <c r="E696" s="6" t="s">
        <v>50</v>
      </c>
      <c r="F696" s="6" t="s">
        <v>984</v>
      </c>
      <c r="G696" s="6" t="s">
        <v>972</v>
      </c>
      <c r="H696" s="6">
        <v>20</v>
      </c>
      <c r="I696" s="6" t="s">
        <v>969</v>
      </c>
      <c r="J696" s="6">
        <v>2</v>
      </c>
      <c r="K696" s="7" t="str">
        <f t="shared" si="8"/>
        <v>G251</v>
      </c>
      <c r="L696" s="8"/>
      <c r="M696" s="9" t="str">
        <f t="shared" si="9"/>
        <v>GFM162A</v>
      </c>
      <c r="N696" s="9">
        <f t="shared" si="10"/>
        <v>7</v>
      </c>
      <c r="O696" s="9" t="str">
        <f t="shared" si="11"/>
        <v>P/1GFM162A</v>
      </c>
    </row>
    <row r="697" spans="1:15" ht="17.5" x14ac:dyDescent="0.55000000000000004">
      <c r="A697" s="10" t="s">
        <v>965</v>
      </c>
      <c r="B697" s="11" t="s">
        <v>47</v>
      </c>
      <c r="C697" s="11" t="s">
        <v>290</v>
      </c>
      <c r="D697" s="10" t="s">
        <v>985</v>
      </c>
      <c r="E697" s="11" t="s">
        <v>16</v>
      </c>
      <c r="F697" s="11" t="s">
        <v>981</v>
      </c>
      <c r="G697" s="11" t="s">
        <v>968</v>
      </c>
      <c r="H697" s="11">
        <v>20</v>
      </c>
      <c r="I697" s="11" t="s">
        <v>969</v>
      </c>
      <c r="J697" s="11">
        <v>2</v>
      </c>
      <c r="K697" s="7" t="str">
        <f t="shared" si="8"/>
        <v>G251</v>
      </c>
      <c r="L697" s="8"/>
      <c r="M697" s="9" t="str">
        <f t="shared" si="9"/>
        <v>GFM1614</v>
      </c>
      <c r="N697" s="9">
        <f t="shared" si="10"/>
        <v>7</v>
      </c>
      <c r="O697" s="9" t="str">
        <f t="shared" si="11"/>
        <v>K/1GFM1614</v>
      </c>
    </row>
    <row r="698" spans="1:15" ht="17.5" x14ac:dyDescent="0.55000000000000004">
      <c r="A698" s="5" t="s">
        <v>965</v>
      </c>
      <c r="B698" s="6" t="s">
        <v>52</v>
      </c>
      <c r="C698" s="6" t="s">
        <v>290</v>
      </c>
      <c r="D698" s="5" t="s">
        <v>986</v>
      </c>
      <c r="E698" s="6" t="s">
        <v>16</v>
      </c>
      <c r="F698" s="6" t="s">
        <v>984</v>
      </c>
      <c r="G698" s="6" t="s">
        <v>968</v>
      </c>
      <c r="H698" s="6">
        <v>20</v>
      </c>
      <c r="I698" s="6" t="s">
        <v>969</v>
      </c>
      <c r="J698" s="6">
        <v>2</v>
      </c>
      <c r="K698" s="7" t="str">
        <f t="shared" si="8"/>
        <v>G251</v>
      </c>
      <c r="L698" s="8"/>
      <c r="M698" s="9" t="str">
        <f t="shared" si="9"/>
        <v>GFM1622</v>
      </c>
      <c r="N698" s="9">
        <f t="shared" si="10"/>
        <v>7</v>
      </c>
      <c r="O698" s="9" t="str">
        <f t="shared" si="11"/>
        <v>K/1GFM1622</v>
      </c>
    </row>
    <row r="699" spans="1:15" ht="17.5" x14ac:dyDescent="0.55000000000000004">
      <c r="A699" s="10" t="s">
        <v>965</v>
      </c>
      <c r="B699" s="11" t="s">
        <v>52</v>
      </c>
      <c r="C699" s="11" t="s">
        <v>820</v>
      </c>
      <c r="D699" s="10" t="s">
        <v>986</v>
      </c>
      <c r="E699" s="11" t="s">
        <v>50</v>
      </c>
      <c r="F699" s="11" t="s">
        <v>984</v>
      </c>
      <c r="G699" s="11" t="s">
        <v>968</v>
      </c>
      <c r="H699" s="11">
        <v>20</v>
      </c>
      <c r="I699" s="11" t="s">
        <v>969</v>
      </c>
      <c r="J699" s="11">
        <v>2</v>
      </c>
      <c r="K699" s="7" t="str">
        <f t="shared" si="8"/>
        <v>G251</v>
      </c>
      <c r="L699" s="8"/>
      <c r="M699" s="9" t="str">
        <f t="shared" si="9"/>
        <v>GFM1622</v>
      </c>
      <c r="N699" s="9">
        <f t="shared" si="10"/>
        <v>7</v>
      </c>
      <c r="O699" s="9" t="str">
        <f t="shared" si="11"/>
        <v>P/1GFM1622</v>
      </c>
    </row>
    <row r="700" spans="1:15" ht="17.5" x14ac:dyDescent="0.55000000000000004">
      <c r="A700" s="5" t="s">
        <v>987</v>
      </c>
      <c r="B700" s="6" t="s">
        <v>13</v>
      </c>
      <c r="C700" s="6" t="s">
        <v>988</v>
      </c>
      <c r="D700" s="12" t="s">
        <v>989</v>
      </c>
      <c r="E700" s="6" t="s">
        <v>50</v>
      </c>
      <c r="F700" s="6" t="s">
        <v>990</v>
      </c>
      <c r="G700" s="6" t="s">
        <v>991</v>
      </c>
      <c r="H700" s="6">
        <v>20</v>
      </c>
      <c r="I700" s="6" t="s">
        <v>992</v>
      </c>
      <c r="J700" s="6">
        <v>2</v>
      </c>
      <c r="K700" s="7" t="str">
        <f t="shared" si="8"/>
        <v>G351</v>
      </c>
      <c r="L700" s="8"/>
      <c r="M700" s="9" t="str">
        <f t="shared" si="9"/>
        <v>MIK151D</v>
      </c>
      <c r="N700" s="9">
        <f t="shared" si="10"/>
        <v>7</v>
      </c>
      <c r="O700" s="9" t="str">
        <f t="shared" si="11"/>
        <v>P/1MIK151D</v>
      </c>
    </row>
    <row r="701" spans="1:15" ht="17.5" x14ac:dyDescent="0.55000000000000004">
      <c r="A701" s="10" t="s">
        <v>987</v>
      </c>
      <c r="B701" s="11" t="s">
        <v>31</v>
      </c>
      <c r="C701" s="11" t="s">
        <v>14</v>
      </c>
      <c r="D701" s="13" t="s">
        <v>993</v>
      </c>
      <c r="E701" s="11" t="s">
        <v>16</v>
      </c>
      <c r="F701" s="11" t="s">
        <v>994</v>
      </c>
      <c r="G701" s="11" t="s">
        <v>995</v>
      </c>
      <c r="H701" s="11">
        <v>20</v>
      </c>
      <c r="I701" s="11" t="s">
        <v>992</v>
      </c>
      <c r="J701" s="11">
        <v>2</v>
      </c>
      <c r="K701" s="7" t="str">
        <f t="shared" si="8"/>
        <v>G351</v>
      </c>
      <c r="L701" s="8"/>
      <c r="M701" s="9" t="str">
        <f t="shared" si="9"/>
        <v>BIO1621</v>
      </c>
      <c r="N701" s="9">
        <f t="shared" si="10"/>
        <v>7</v>
      </c>
      <c r="O701" s="9" t="str">
        <f t="shared" si="11"/>
        <v>K/1BIO1621</v>
      </c>
    </row>
    <row r="702" spans="1:15" ht="17.5" x14ac:dyDescent="0.55000000000000004">
      <c r="A702" s="5" t="s">
        <v>987</v>
      </c>
      <c r="B702" s="6" t="s">
        <v>31</v>
      </c>
      <c r="C702" s="6" t="s">
        <v>25</v>
      </c>
      <c r="D702" s="12" t="s">
        <v>996</v>
      </c>
      <c r="E702" s="6" t="s">
        <v>16</v>
      </c>
      <c r="F702" s="6" t="s">
        <v>997</v>
      </c>
      <c r="G702" s="6" t="s">
        <v>17</v>
      </c>
      <c r="H702" s="6">
        <v>0</v>
      </c>
      <c r="I702" s="6" t="s">
        <v>992</v>
      </c>
      <c r="J702" s="6">
        <v>2</v>
      </c>
      <c r="K702" s="7" t="str">
        <f t="shared" si="8"/>
        <v>G351</v>
      </c>
      <c r="L702" s="8"/>
      <c r="M702" s="9" t="str">
        <f t="shared" si="9"/>
        <v>BIO1524</v>
      </c>
      <c r="N702" s="9">
        <f t="shared" si="10"/>
        <v>7</v>
      </c>
      <c r="O702" s="9" t="str">
        <f t="shared" si="11"/>
        <v>K/1BIO1524</v>
      </c>
    </row>
    <row r="703" spans="1:15" ht="17.5" x14ac:dyDescent="0.55000000000000004">
      <c r="A703" s="10" t="s">
        <v>987</v>
      </c>
      <c r="B703" s="11" t="s">
        <v>41</v>
      </c>
      <c r="C703" s="11" t="s">
        <v>426</v>
      </c>
      <c r="D703" s="13" t="s">
        <v>998</v>
      </c>
      <c r="E703" s="11" t="s">
        <v>50</v>
      </c>
      <c r="F703" s="11" t="s">
        <v>999</v>
      </c>
      <c r="G703" s="11" t="s">
        <v>1000</v>
      </c>
      <c r="H703" s="11">
        <v>20</v>
      </c>
      <c r="I703" s="11" t="s">
        <v>992</v>
      </c>
      <c r="J703" s="11">
        <v>2</v>
      </c>
      <c r="K703" s="7" t="str">
        <f t="shared" si="8"/>
        <v>G351</v>
      </c>
      <c r="L703" s="8"/>
      <c r="M703" s="9" t="str">
        <f t="shared" si="9"/>
        <v>BIO1514</v>
      </c>
      <c r="N703" s="9">
        <f t="shared" si="10"/>
        <v>7</v>
      </c>
      <c r="O703" s="9" t="str">
        <f t="shared" si="11"/>
        <v>P/1BIO1514</v>
      </c>
    </row>
    <row r="704" spans="1:15" ht="17.5" x14ac:dyDescent="0.55000000000000004">
      <c r="A704" s="5" t="s">
        <v>987</v>
      </c>
      <c r="B704" s="6" t="s">
        <v>41</v>
      </c>
      <c r="C704" s="6" t="s">
        <v>49</v>
      </c>
      <c r="D704" s="12" t="s">
        <v>1001</v>
      </c>
      <c r="E704" s="6" t="s">
        <v>50</v>
      </c>
      <c r="F704" s="6" t="s">
        <v>994</v>
      </c>
      <c r="G704" s="6" t="s">
        <v>1002</v>
      </c>
      <c r="H704" s="6">
        <v>20</v>
      </c>
      <c r="I704" s="6" t="s">
        <v>992</v>
      </c>
      <c r="J704" s="6">
        <v>2</v>
      </c>
      <c r="K704" s="7" t="str">
        <f t="shared" si="8"/>
        <v>G351</v>
      </c>
      <c r="L704" s="8"/>
      <c r="M704" s="9" t="str">
        <f t="shared" si="9"/>
        <v>MIK152C</v>
      </c>
      <c r="N704" s="9">
        <f t="shared" si="10"/>
        <v>7</v>
      </c>
      <c r="O704" s="9" t="str">
        <f t="shared" si="11"/>
        <v>P/1MIK152C</v>
      </c>
    </row>
    <row r="705" spans="1:15" ht="17.5" x14ac:dyDescent="0.55000000000000004">
      <c r="A705" s="10" t="s">
        <v>987</v>
      </c>
      <c r="B705" s="11" t="s">
        <v>47</v>
      </c>
      <c r="C705" s="11" t="s">
        <v>423</v>
      </c>
      <c r="D705" s="13" t="s">
        <v>993</v>
      </c>
      <c r="E705" s="11" t="s">
        <v>50</v>
      </c>
      <c r="F705" s="11" t="s">
        <v>994</v>
      </c>
      <c r="G705" s="11" t="s">
        <v>1003</v>
      </c>
      <c r="H705" s="11">
        <v>20</v>
      </c>
      <c r="I705" s="11" t="s">
        <v>992</v>
      </c>
      <c r="J705" s="11">
        <v>2</v>
      </c>
      <c r="K705" s="7" t="str">
        <f t="shared" si="8"/>
        <v>G351</v>
      </c>
      <c r="L705" s="8"/>
      <c r="M705" s="9" t="str">
        <f t="shared" si="9"/>
        <v>BIO1621</v>
      </c>
      <c r="N705" s="9">
        <f t="shared" si="10"/>
        <v>7</v>
      </c>
      <c r="O705" s="9" t="str">
        <f t="shared" si="11"/>
        <v>P/1BIO1621</v>
      </c>
    </row>
    <row r="706" spans="1:15" ht="17.5" x14ac:dyDescent="0.55000000000000004">
      <c r="A706" s="5" t="s">
        <v>987</v>
      </c>
      <c r="B706" s="6" t="s">
        <v>47</v>
      </c>
      <c r="C706" s="6" t="s">
        <v>49</v>
      </c>
      <c r="D706" s="12" t="s">
        <v>996</v>
      </c>
      <c r="E706" s="6" t="s">
        <v>50</v>
      </c>
      <c r="F706" s="6" t="s">
        <v>997</v>
      </c>
      <c r="G706" s="6" t="s">
        <v>1003</v>
      </c>
      <c r="H706" s="6">
        <v>20</v>
      </c>
      <c r="I706" s="6" t="s">
        <v>992</v>
      </c>
      <c r="J706" s="6">
        <v>2</v>
      </c>
      <c r="K706" s="7" t="str">
        <f t="shared" si="8"/>
        <v>G351</v>
      </c>
      <c r="L706" s="8"/>
      <c r="M706" s="9" t="str">
        <f t="shared" si="9"/>
        <v>BIO1524</v>
      </c>
      <c r="N706" s="9">
        <f t="shared" si="10"/>
        <v>7</v>
      </c>
      <c r="O706" s="9" t="str">
        <f t="shared" si="11"/>
        <v>P/1BIO1524</v>
      </c>
    </row>
    <row r="707" spans="1:15" ht="17.5" x14ac:dyDescent="0.55000000000000004">
      <c r="A707" s="10" t="s">
        <v>987</v>
      </c>
      <c r="B707" s="11" t="s">
        <v>52</v>
      </c>
      <c r="C707" s="11" t="s">
        <v>14</v>
      </c>
      <c r="D707" s="13" t="s">
        <v>998</v>
      </c>
      <c r="E707" s="11" t="s">
        <v>16</v>
      </c>
      <c r="F707" s="11" t="s">
        <v>999</v>
      </c>
      <c r="G707" s="11" t="s">
        <v>734</v>
      </c>
      <c r="H707" s="11">
        <v>40</v>
      </c>
      <c r="I707" s="11" t="s">
        <v>992</v>
      </c>
      <c r="J707" s="11">
        <v>2</v>
      </c>
      <c r="K707" s="7" t="str">
        <f t="shared" si="8"/>
        <v>G351</v>
      </c>
      <c r="L707" s="8"/>
      <c r="M707" s="9" t="str">
        <f t="shared" si="9"/>
        <v>BIO1514</v>
      </c>
      <c r="N707" s="9">
        <f t="shared" si="10"/>
        <v>7</v>
      </c>
      <c r="O707" s="9" t="str">
        <f t="shared" si="11"/>
        <v>K/1BIO1514</v>
      </c>
    </row>
    <row r="708" spans="1:15" ht="17.5" x14ac:dyDescent="0.55000000000000004">
      <c r="A708" s="12" t="s">
        <v>1004</v>
      </c>
      <c r="B708" s="6" t="s">
        <v>13</v>
      </c>
      <c r="C708" s="6" t="s">
        <v>1005</v>
      </c>
      <c r="D708" s="5" t="s">
        <v>1006</v>
      </c>
      <c r="E708" s="6" t="s">
        <v>50</v>
      </c>
      <c r="F708" s="6" t="s">
        <v>1007</v>
      </c>
      <c r="G708" s="6" t="s">
        <v>734</v>
      </c>
      <c r="H708" s="6">
        <v>40</v>
      </c>
      <c r="I708" s="6" t="s">
        <v>1008</v>
      </c>
      <c r="J708" s="6">
        <v>2</v>
      </c>
      <c r="K708" s="7" t="str">
        <f t="shared" si="8"/>
        <v>G352</v>
      </c>
      <c r="L708" s="8"/>
      <c r="M708" s="9" t="str">
        <f t="shared" si="9"/>
        <v>BSH1561</v>
      </c>
      <c r="N708" s="9">
        <f t="shared" si="10"/>
        <v>7</v>
      </c>
      <c r="O708" s="9" t="str">
        <f t="shared" si="11"/>
        <v>P/1BSH1561</v>
      </c>
    </row>
    <row r="709" spans="1:15" ht="17.5" x14ac:dyDescent="0.55000000000000004">
      <c r="A709" s="13" t="s">
        <v>1004</v>
      </c>
      <c r="B709" s="11" t="s">
        <v>13</v>
      </c>
      <c r="C709" s="11" t="s">
        <v>64</v>
      </c>
      <c r="D709" s="10" t="s">
        <v>1006</v>
      </c>
      <c r="E709" s="11" t="s">
        <v>16</v>
      </c>
      <c r="F709" s="11" t="s">
        <v>1007</v>
      </c>
      <c r="G709" s="11" t="s">
        <v>734</v>
      </c>
      <c r="H709" s="11">
        <v>40</v>
      </c>
      <c r="I709" s="11" t="s">
        <v>1008</v>
      </c>
      <c r="J709" s="11">
        <v>2</v>
      </c>
      <c r="K709" s="7" t="str">
        <f t="shared" si="8"/>
        <v>G352</v>
      </c>
      <c r="L709" s="8"/>
      <c r="M709" s="9" t="str">
        <f t="shared" si="9"/>
        <v>BSH1561</v>
      </c>
      <c r="N709" s="9">
        <f t="shared" si="10"/>
        <v>7</v>
      </c>
      <c r="O709" s="9" t="str">
        <f t="shared" si="11"/>
        <v>K/1BSH1561</v>
      </c>
    </row>
    <row r="710" spans="1:15" ht="17.5" x14ac:dyDescent="0.55000000000000004">
      <c r="A710" s="12" t="s">
        <v>1004</v>
      </c>
      <c r="B710" s="6" t="s">
        <v>13</v>
      </c>
      <c r="C710" s="6" t="s">
        <v>101</v>
      </c>
      <c r="D710" s="5" t="s">
        <v>1009</v>
      </c>
      <c r="E710" s="6" t="s">
        <v>16</v>
      </c>
      <c r="F710" s="6" t="s">
        <v>1010</v>
      </c>
      <c r="G710" s="6" t="s">
        <v>734</v>
      </c>
      <c r="H710" s="6">
        <v>40</v>
      </c>
      <c r="I710" s="6" t="s">
        <v>1008</v>
      </c>
      <c r="J710" s="6">
        <v>2</v>
      </c>
      <c r="K710" s="7" t="str">
        <f t="shared" si="8"/>
        <v>G352</v>
      </c>
      <c r="L710" s="8"/>
      <c r="M710" s="9" t="str">
        <f t="shared" si="9"/>
        <v>BSH1553</v>
      </c>
      <c r="N710" s="9">
        <f t="shared" si="10"/>
        <v>7</v>
      </c>
      <c r="O710" s="9" t="str">
        <f t="shared" si="11"/>
        <v>K/1BSH1553</v>
      </c>
    </row>
    <row r="711" spans="1:15" ht="17.5" x14ac:dyDescent="0.55000000000000004">
      <c r="A711" s="13" t="s">
        <v>1004</v>
      </c>
      <c r="B711" s="11" t="s">
        <v>31</v>
      </c>
      <c r="C711" s="11" t="s">
        <v>42</v>
      </c>
      <c r="D711" s="10" t="s">
        <v>1009</v>
      </c>
      <c r="E711" s="11" t="s">
        <v>50</v>
      </c>
      <c r="F711" s="11" t="s">
        <v>1010</v>
      </c>
      <c r="G711" s="11" t="s">
        <v>734</v>
      </c>
      <c r="H711" s="11">
        <v>40</v>
      </c>
      <c r="I711" s="11" t="s">
        <v>1008</v>
      </c>
      <c r="J711" s="11">
        <v>2</v>
      </c>
      <c r="K711" s="7" t="str">
        <f t="shared" si="8"/>
        <v>G352</v>
      </c>
      <c r="L711" s="8"/>
      <c r="M711" s="9" t="str">
        <f t="shared" si="9"/>
        <v>BSH1553</v>
      </c>
      <c r="N711" s="9">
        <f t="shared" si="10"/>
        <v>7</v>
      </c>
      <c r="O711" s="9" t="str">
        <f t="shared" si="11"/>
        <v>P/1BSH1553</v>
      </c>
    </row>
    <row r="712" spans="1:15" ht="17.5" x14ac:dyDescent="0.55000000000000004">
      <c r="A712" s="12" t="s">
        <v>1004</v>
      </c>
      <c r="B712" s="6" t="s">
        <v>31</v>
      </c>
      <c r="C712" s="6" t="s">
        <v>25</v>
      </c>
      <c r="D712" s="5" t="s">
        <v>1011</v>
      </c>
      <c r="E712" s="6" t="s">
        <v>16</v>
      </c>
      <c r="F712" s="6" t="s">
        <v>1012</v>
      </c>
      <c r="G712" s="6" t="s">
        <v>17</v>
      </c>
      <c r="H712" s="6">
        <v>0</v>
      </c>
      <c r="I712" s="6" t="s">
        <v>1008</v>
      </c>
      <c r="J712" s="6">
        <v>2</v>
      </c>
      <c r="K712" s="7" t="str">
        <f t="shared" si="8"/>
        <v>G352</v>
      </c>
      <c r="L712" s="8"/>
      <c r="M712" s="9" t="str">
        <f t="shared" si="9"/>
        <v>BSH1555</v>
      </c>
      <c r="N712" s="9">
        <f t="shared" si="10"/>
        <v>7</v>
      </c>
      <c r="O712" s="9" t="str">
        <f t="shared" si="11"/>
        <v>K/1BSH1555</v>
      </c>
    </row>
    <row r="713" spans="1:15" ht="17.5" x14ac:dyDescent="0.55000000000000004">
      <c r="A713" s="13" t="s">
        <v>1004</v>
      </c>
      <c r="B713" s="11" t="s">
        <v>31</v>
      </c>
      <c r="C713" s="11" t="s">
        <v>25</v>
      </c>
      <c r="D713" s="10" t="s">
        <v>1013</v>
      </c>
      <c r="E713" s="11" t="s">
        <v>16</v>
      </c>
      <c r="F713" s="11" t="s">
        <v>1014</v>
      </c>
      <c r="G713" s="11" t="s">
        <v>1015</v>
      </c>
      <c r="H713" s="11">
        <v>10</v>
      </c>
      <c r="I713" s="11" t="s">
        <v>1008</v>
      </c>
      <c r="J713" s="11">
        <v>2</v>
      </c>
      <c r="K713" s="7" t="str">
        <f t="shared" si="8"/>
        <v>G352</v>
      </c>
      <c r="L713" s="8"/>
      <c r="M713" s="9" t="str">
        <f t="shared" si="9"/>
        <v>BSH1654</v>
      </c>
      <c r="N713" s="9">
        <f t="shared" si="10"/>
        <v>7</v>
      </c>
      <c r="O713" s="9" t="str">
        <f t="shared" si="11"/>
        <v>K/1BSH1654</v>
      </c>
    </row>
    <row r="714" spans="1:15" ht="17.5" x14ac:dyDescent="0.55000000000000004">
      <c r="A714" s="12" t="s">
        <v>1004</v>
      </c>
      <c r="B714" s="6" t="s">
        <v>31</v>
      </c>
      <c r="C714" s="6" t="s">
        <v>25</v>
      </c>
      <c r="D714" s="5" t="s">
        <v>1016</v>
      </c>
      <c r="E714" s="6" t="s">
        <v>16</v>
      </c>
      <c r="F714" s="6" t="s">
        <v>1017</v>
      </c>
      <c r="G714" s="6" t="s">
        <v>1018</v>
      </c>
      <c r="H714" s="6">
        <v>10</v>
      </c>
      <c r="I714" s="6" t="s">
        <v>1008</v>
      </c>
      <c r="J714" s="6">
        <v>2</v>
      </c>
      <c r="K714" s="7" t="str">
        <f t="shared" si="8"/>
        <v>G352</v>
      </c>
      <c r="L714" s="8"/>
      <c r="M714" s="9" t="str">
        <f t="shared" si="9"/>
        <v>BSH165A</v>
      </c>
      <c r="N714" s="9">
        <f t="shared" si="10"/>
        <v>7</v>
      </c>
      <c r="O714" s="9" t="str">
        <f t="shared" si="11"/>
        <v>K/1BSH165A</v>
      </c>
    </row>
    <row r="715" spans="1:15" ht="17.5" x14ac:dyDescent="0.55000000000000004">
      <c r="A715" s="13" t="s">
        <v>1004</v>
      </c>
      <c r="B715" s="11" t="s">
        <v>31</v>
      </c>
      <c r="C715" s="11" t="s">
        <v>25</v>
      </c>
      <c r="D715" s="10" t="s">
        <v>1019</v>
      </c>
      <c r="E715" s="11" t="s">
        <v>16</v>
      </c>
      <c r="F715" s="11" t="s">
        <v>1020</v>
      </c>
      <c r="G715" s="11" t="s">
        <v>1021</v>
      </c>
      <c r="H715" s="11">
        <v>10</v>
      </c>
      <c r="I715" s="11" t="s">
        <v>1008</v>
      </c>
      <c r="J715" s="11">
        <v>2</v>
      </c>
      <c r="K715" s="7" t="str">
        <f t="shared" si="8"/>
        <v>G352</v>
      </c>
      <c r="L715" s="8"/>
      <c r="M715" s="9" t="str">
        <f t="shared" si="9"/>
        <v>BSH1663</v>
      </c>
      <c r="N715" s="9">
        <f t="shared" si="10"/>
        <v>7</v>
      </c>
      <c r="O715" s="9" t="str">
        <f t="shared" si="11"/>
        <v>K/1BSH1663</v>
      </c>
    </row>
    <row r="716" spans="1:15" ht="17.5" x14ac:dyDescent="0.55000000000000004">
      <c r="A716" s="12" t="s">
        <v>1004</v>
      </c>
      <c r="B716" s="6" t="s">
        <v>31</v>
      </c>
      <c r="C716" s="6" t="s">
        <v>25</v>
      </c>
      <c r="D716" s="5" t="s">
        <v>1022</v>
      </c>
      <c r="E716" s="6" t="s">
        <v>16</v>
      </c>
      <c r="F716" s="6" t="s">
        <v>1023</v>
      </c>
      <c r="G716" s="6" t="s">
        <v>1024</v>
      </c>
      <c r="H716" s="6">
        <v>10</v>
      </c>
      <c r="I716" s="6" t="s">
        <v>1008</v>
      </c>
      <c r="J716" s="6">
        <v>2</v>
      </c>
      <c r="K716" s="7" t="str">
        <f t="shared" si="8"/>
        <v>G352</v>
      </c>
      <c r="L716" s="8"/>
      <c r="M716" s="9" t="str">
        <f t="shared" si="9"/>
        <v>BSH1664</v>
      </c>
      <c r="N716" s="9">
        <f t="shared" si="10"/>
        <v>7</v>
      </c>
      <c r="O716" s="9" t="str">
        <f t="shared" si="11"/>
        <v>K/1BSH1664</v>
      </c>
    </row>
    <row r="717" spans="1:15" ht="17.5" x14ac:dyDescent="0.55000000000000004">
      <c r="A717" s="13" t="s">
        <v>1004</v>
      </c>
      <c r="B717" s="11" t="s">
        <v>31</v>
      </c>
      <c r="C717" s="11" t="s">
        <v>36</v>
      </c>
      <c r="D717" s="10" t="s">
        <v>1011</v>
      </c>
      <c r="E717" s="11" t="s">
        <v>50</v>
      </c>
      <c r="F717" s="11" t="s">
        <v>1012</v>
      </c>
      <c r="G717" s="11" t="s">
        <v>995</v>
      </c>
      <c r="H717" s="11">
        <v>20</v>
      </c>
      <c r="I717" s="11" t="s">
        <v>1008</v>
      </c>
      <c r="J717" s="11">
        <v>2</v>
      </c>
      <c r="K717" s="7" t="str">
        <f t="shared" si="8"/>
        <v>G352</v>
      </c>
      <c r="L717" s="8"/>
      <c r="M717" s="9" t="str">
        <f t="shared" si="9"/>
        <v>BSH1555</v>
      </c>
      <c r="N717" s="9">
        <f t="shared" si="10"/>
        <v>7</v>
      </c>
      <c r="O717" s="9" t="str">
        <f t="shared" si="11"/>
        <v>P/1BSH1555</v>
      </c>
    </row>
    <row r="718" spans="1:15" ht="17.5" x14ac:dyDescent="0.55000000000000004">
      <c r="A718" s="12" t="s">
        <v>1004</v>
      </c>
      <c r="B718" s="6" t="s">
        <v>31</v>
      </c>
      <c r="C718" s="6" t="s">
        <v>36</v>
      </c>
      <c r="D718" s="5" t="s">
        <v>1013</v>
      </c>
      <c r="E718" s="6" t="s">
        <v>50</v>
      </c>
      <c r="F718" s="6" t="s">
        <v>1014</v>
      </c>
      <c r="G718" s="6" t="s">
        <v>1015</v>
      </c>
      <c r="H718" s="6">
        <v>10</v>
      </c>
      <c r="I718" s="6" t="s">
        <v>1008</v>
      </c>
      <c r="J718" s="6">
        <v>2</v>
      </c>
      <c r="K718" s="7" t="str">
        <f t="shared" si="8"/>
        <v>G352</v>
      </c>
      <c r="L718" s="8"/>
      <c r="M718" s="9" t="str">
        <f t="shared" si="9"/>
        <v>BSH1654</v>
      </c>
      <c r="N718" s="9">
        <f t="shared" si="10"/>
        <v>7</v>
      </c>
      <c r="O718" s="9" t="str">
        <f t="shared" si="11"/>
        <v>P/1BSH1654</v>
      </c>
    </row>
    <row r="719" spans="1:15" ht="17.5" x14ac:dyDescent="0.55000000000000004">
      <c r="A719" s="13" t="s">
        <v>1004</v>
      </c>
      <c r="B719" s="11" t="s">
        <v>31</v>
      </c>
      <c r="C719" s="11" t="s">
        <v>36</v>
      </c>
      <c r="D719" s="10" t="s">
        <v>1016</v>
      </c>
      <c r="E719" s="11" t="s">
        <v>50</v>
      </c>
      <c r="F719" s="11" t="s">
        <v>1017</v>
      </c>
      <c r="G719" s="11" t="s">
        <v>1018</v>
      </c>
      <c r="H719" s="11">
        <v>10</v>
      </c>
      <c r="I719" s="11" t="s">
        <v>1008</v>
      </c>
      <c r="J719" s="11">
        <v>2</v>
      </c>
      <c r="K719" s="7" t="str">
        <f t="shared" si="8"/>
        <v>G352</v>
      </c>
      <c r="L719" s="8"/>
      <c r="M719" s="9" t="str">
        <f t="shared" si="9"/>
        <v>BSH165A</v>
      </c>
      <c r="N719" s="9">
        <f t="shared" si="10"/>
        <v>7</v>
      </c>
      <c r="O719" s="9" t="str">
        <f t="shared" si="11"/>
        <v>P/1BSH165A</v>
      </c>
    </row>
    <row r="720" spans="1:15" ht="17.5" x14ac:dyDescent="0.55000000000000004">
      <c r="A720" s="12" t="s">
        <v>1004</v>
      </c>
      <c r="B720" s="6" t="s">
        <v>31</v>
      </c>
      <c r="C720" s="6" t="s">
        <v>36</v>
      </c>
      <c r="D720" s="5" t="s">
        <v>1019</v>
      </c>
      <c r="E720" s="6" t="s">
        <v>50</v>
      </c>
      <c r="F720" s="6" t="s">
        <v>1020</v>
      </c>
      <c r="G720" s="6" t="s">
        <v>1021</v>
      </c>
      <c r="H720" s="6">
        <v>10</v>
      </c>
      <c r="I720" s="6" t="s">
        <v>1008</v>
      </c>
      <c r="J720" s="6">
        <v>2</v>
      </c>
      <c r="K720" s="7" t="str">
        <f t="shared" si="8"/>
        <v>G352</v>
      </c>
      <c r="L720" s="8"/>
      <c r="M720" s="9" t="str">
        <f t="shared" si="9"/>
        <v>BSH1663</v>
      </c>
      <c r="N720" s="9">
        <f t="shared" si="10"/>
        <v>7</v>
      </c>
      <c r="O720" s="9" t="str">
        <f t="shared" si="11"/>
        <v>P/1BSH1663</v>
      </c>
    </row>
    <row r="721" spans="1:15" ht="17.5" x14ac:dyDescent="0.55000000000000004">
      <c r="A721" s="13" t="s">
        <v>1004</v>
      </c>
      <c r="B721" s="11" t="s">
        <v>31</v>
      </c>
      <c r="C721" s="11" t="s">
        <v>36</v>
      </c>
      <c r="D721" s="10" t="s">
        <v>1022</v>
      </c>
      <c r="E721" s="11" t="s">
        <v>50</v>
      </c>
      <c r="F721" s="11" t="s">
        <v>1023</v>
      </c>
      <c r="G721" s="11" t="s">
        <v>1024</v>
      </c>
      <c r="H721" s="11">
        <v>10</v>
      </c>
      <c r="I721" s="11" t="s">
        <v>1008</v>
      </c>
      <c r="J721" s="11">
        <v>2</v>
      </c>
      <c r="K721" s="7" t="str">
        <f t="shared" si="8"/>
        <v>G352</v>
      </c>
      <c r="L721" s="8"/>
      <c r="M721" s="9" t="str">
        <f t="shared" si="9"/>
        <v>BSH1664</v>
      </c>
      <c r="N721" s="9">
        <f t="shared" si="10"/>
        <v>7</v>
      </c>
      <c r="O721" s="9" t="str">
        <f t="shared" si="11"/>
        <v>P/1BSH1664</v>
      </c>
    </row>
    <row r="722" spans="1:15" ht="17.5" x14ac:dyDescent="0.55000000000000004">
      <c r="A722" s="12" t="s">
        <v>1004</v>
      </c>
      <c r="B722" s="6" t="s">
        <v>41</v>
      </c>
      <c r="C722" s="6" t="s">
        <v>1025</v>
      </c>
      <c r="D722" s="5" t="s">
        <v>1026</v>
      </c>
      <c r="E722" s="6" t="s">
        <v>16</v>
      </c>
      <c r="F722" s="6" t="s">
        <v>1023</v>
      </c>
      <c r="G722" s="6" t="s">
        <v>995</v>
      </c>
      <c r="H722" s="6">
        <v>20</v>
      </c>
      <c r="I722" s="6" t="s">
        <v>1027</v>
      </c>
      <c r="J722" s="6">
        <v>2</v>
      </c>
      <c r="K722" s="7" t="str">
        <f t="shared" si="8"/>
        <v>G352</v>
      </c>
      <c r="L722" s="8"/>
      <c r="M722" s="9" t="str">
        <f t="shared" si="9"/>
        <v>BSH1551</v>
      </c>
      <c r="N722" s="9">
        <f t="shared" si="10"/>
        <v>7</v>
      </c>
      <c r="O722" s="9" t="str">
        <f t="shared" si="11"/>
        <v>K/1BSH1551</v>
      </c>
    </row>
    <row r="723" spans="1:15" ht="17.5" x14ac:dyDescent="0.55000000000000004">
      <c r="A723" s="13" t="s">
        <v>1004</v>
      </c>
      <c r="B723" s="11" t="s">
        <v>41</v>
      </c>
      <c r="C723" s="11" t="s">
        <v>36</v>
      </c>
      <c r="D723" s="10" t="s">
        <v>1026</v>
      </c>
      <c r="E723" s="11" t="s">
        <v>50</v>
      </c>
      <c r="F723" s="11" t="s">
        <v>1023</v>
      </c>
      <c r="G723" s="11" t="s">
        <v>995</v>
      </c>
      <c r="H723" s="11">
        <v>20</v>
      </c>
      <c r="I723" s="11" t="s">
        <v>1027</v>
      </c>
      <c r="J723" s="11">
        <v>2</v>
      </c>
      <c r="K723" s="7" t="str">
        <f t="shared" si="8"/>
        <v>G352</v>
      </c>
      <c r="L723" s="8"/>
      <c r="M723" s="9" t="str">
        <f t="shared" si="9"/>
        <v>BSH1551</v>
      </c>
      <c r="N723" s="9">
        <f t="shared" si="10"/>
        <v>7</v>
      </c>
      <c r="O723" s="9" t="str">
        <f t="shared" si="11"/>
        <v>P/1BSH1551</v>
      </c>
    </row>
    <row r="724" spans="1:15" ht="17.5" x14ac:dyDescent="0.55000000000000004">
      <c r="A724" s="12" t="s">
        <v>1004</v>
      </c>
      <c r="B724" s="6" t="s">
        <v>41</v>
      </c>
      <c r="C724" s="6" t="s">
        <v>1028</v>
      </c>
      <c r="D724" s="5" t="s">
        <v>1029</v>
      </c>
      <c r="E724" s="6" t="s">
        <v>144</v>
      </c>
      <c r="F724" s="6" t="s">
        <v>1012</v>
      </c>
      <c r="G724" s="6" t="s">
        <v>995</v>
      </c>
      <c r="H724" s="6">
        <v>20</v>
      </c>
      <c r="I724" s="6" t="s">
        <v>1008</v>
      </c>
      <c r="J724" s="6">
        <v>2</v>
      </c>
      <c r="K724" s="7" t="str">
        <f t="shared" si="8"/>
        <v>G352</v>
      </c>
      <c r="L724" s="8"/>
      <c r="M724" s="9" t="str">
        <f t="shared" si="9"/>
        <v>BIO1691</v>
      </c>
      <c r="N724" s="9">
        <f t="shared" si="10"/>
        <v>7</v>
      </c>
      <c r="O724" s="9" t="str">
        <f t="shared" si="11"/>
        <v>P/2BIO1691</v>
      </c>
    </row>
    <row r="725" spans="1:15" ht="17.5" x14ac:dyDescent="0.55000000000000004">
      <c r="A725" s="13" t="s">
        <v>1004</v>
      </c>
      <c r="B725" s="11" t="s">
        <v>47</v>
      </c>
      <c r="C725" s="11" t="s">
        <v>42</v>
      </c>
      <c r="D725" s="10" t="s">
        <v>1030</v>
      </c>
      <c r="E725" s="11" t="s">
        <v>50</v>
      </c>
      <c r="F725" s="11" t="s">
        <v>1007</v>
      </c>
      <c r="G725" s="11" t="s">
        <v>1024</v>
      </c>
      <c r="H725" s="11">
        <v>10</v>
      </c>
      <c r="I725" s="11" t="s">
        <v>1008</v>
      </c>
      <c r="J725" s="11">
        <v>2</v>
      </c>
      <c r="K725" s="7" t="str">
        <f t="shared" si="8"/>
        <v>G352</v>
      </c>
      <c r="L725" s="8"/>
      <c r="M725" s="9" t="str">
        <f t="shared" si="9"/>
        <v>BSH1662</v>
      </c>
      <c r="N725" s="9">
        <f t="shared" si="10"/>
        <v>7</v>
      </c>
      <c r="O725" s="9" t="str">
        <f t="shared" si="11"/>
        <v>P/1BSH1662</v>
      </c>
    </row>
    <row r="726" spans="1:15" ht="17.5" x14ac:dyDescent="0.55000000000000004">
      <c r="A726" s="12" t="s">
        <v>1004</v>
      </c>
      <c r="B726" s="6" t="s">
        <v>47</v>
      </c>
      <c r="C726" s="6" t="s">
        <v>25</v>
      </c>
      <c r="D726" s="5" t="s">
        <v>1030</v>
      </c>
      <c r="E726" s="6" t="s">
        <v>16</v>
      </c>
      <c r="F726" s="6" t="s">
        <v>1007</v>
      </c>
      <c r="G726" s="6" t="s">
        <v>1015</v>
      </c>
      <c r="H726" s="6">
        <v>10</v>
      </c>
      <c r="I726" s="6" t="s">
        <v>1008</v>
      </c>
      <c r="J726" s="6">
        <v>2</v>
      </c>
      <c r="K726" s="7" t="str">
        <f t="shared" si="8"/>
        <v>G352</v>
      </c>
      <c r="L726" s="8"/>
      <c r="M726" s="9" t="str">
        <f t="shared" si="9"/>
        <v>BSH1662</v>
      </c>
      <c r="N726" s="9">
        <f t="shared" si="10"/>
        <v>7</v>
      </c>
      <c r="O726" s="9" t="str">
        <f t="shared" si="11"/>
        <v>K/1BSH1662</v>
      </c>
    </row>
    <row r="727" spans="1:15" ht="17.5" x14ac:dyDescent="0.55000000000000004">
      <c r="A727" s="13" t="s">
        <v>1004</v>
      </c>
      <c r="B727" s="11" t="s">
        <v>47</v>
      </c>
      <c r="C727" s="11" t="s">
        <v>64</v>
      </c>
      <c r="D727" s="10" t="s">
        <v>1031</v>
      </c>
      <c r="E727" s="11" t="s">
        <v>16</v>
      </c>
      <c r="F727" s="11" t="s">
        <v>1032</v>
      </c>
      <c r="G727" s="11" t="s">
        <v>1015</v>
      </c>
      <c r="H727" s="11">
        <v>10</v>
      </c>
      <c r="I727" s="11" t="s">
        <v>1008</v>
      </c>
      <c r="J727" s="11">
        <v>2</v>
      </c>
      <c r="K727" s="7" t="str">
        <f t="shared" si="8"/>
        <v>G352</v>
      </c>
      <c r="L727" s="8"/>
      <c r="M727" s="9" t="str">
        <f t="shared" si="9"/>
        <v>BSH165E</v>
      </c>
      <c r="N727" s="9">
        <f t="shared" si="10"/>
        <v>7</v>
      </c>
      <c r="O727" s="9" t="str">
        <f t="shared" si="11"/>
        <v>K/1BSH165E</v>
      </c>
    </row>
    <row r="728" spans="1:15" ht="17.5" x14ac:dyDescent="0.55000000000000004">
      <c r="A728" s="12" t="s">
        <v>1004</v>
      </c>
      <c r="B728" s="6" t="s">
        <v>52</v>
      </c>
      <c r="C728" s="6" t="s">
        <v>132</v>
      </c>
      <c r="D728" s="5" t="s">
        <v>1033</v>
      </c>
      <c r="E728" s="6" t="s">
        <v>16</v>
      </c>
      <c r="F728" s="6" t="s">
        <v>1020</v>
      </c>
      <c r="G728" s="6" t="s">
        <v>995</v>
      </c>
      <c r="H728" s="6">
        <v>20</v>
      </c>
      <c r="I728" s="6" t="s">
        <v>1008</v>
      </c>
      <c r="J728" s="6">
        <v>2</v>
      </c>
      <c r="K728" s="7" t="str">
        <f t="shared" si="8"/>
        <v>G352</v>
      </c>
      <c r="L728" s="8"/>
      <c r="M728" s="9" t="str">
        <f t="shared" si="9"/>
        <v>BSH1656</v>
      </c>
      <c r="N728" s="9">
        <f t="shared" si="10"/>
        <v>7</v>
      </c>
      <c r="O728" s="9" t="str">
        <f t="shared" si="11"/>
        <v>K/1BSH1656</v>
      </c>
    </row>
    <row r="729" spans="1:15" ht="17.5" x14ac:dyDescent="0.55000000000000004">
      <c r="A729" s="13" t="s">
        <v>1004</v>
      </c>
      <c r="B729" s="11" t="s">
        <v>52</v>
      </c>
      <c r="C729" s="11" t="s">
        <v>276</v>
      </c>
      <c r="D729" s="10" t="s">
        <v>1033</v>
      </c>
      <c r="E729" s="11" t="s">
        <v>50</v>
      </c>
      <c r="F729" s="11" t="s">
        <v>1020</v>
      </c>
      <c r="G729" s="11" t="s">
        <v>1000</v>
      </c>
      <c r="H729" s="11">
        <v>20</v>
      </c>
      <c r="I729" s="11" t="s">
        <v>1008</v>
      </c>
      <c r="J729" s="11">
        <v>2</v>
      </c>
      <c r="K729" s="7" t="str">
        <f t="shared" si="8"/>
        <v>G352</v>
      </c>
      <c r="L729" s="8"/>
      <c r="M729" s="9" t="str">
        <f t="shared" si="9"/>
        <v>BSH1656</v>
      </c>
      <c r="N729" s="9">
        <f t="shared" si="10"/>
        <v>7</v>
      </c>
      <c r="O729" s="9" t="str">
        <f t="shared" si="11"/>
        <v>P/1BSH1656</v>
      </c>
    </row>
    <row r="730" spans="1:15" ht="17.5" x14ac:dyDescent="0.55000000000000004">
      <c r="A730" s="12" t="s">
        <v>1004</v>
      </c>
      <c r="B730" s="6" t="s">
        <v>52</v>
      </c>
      <c r="C730" s="6" t="s">
        <v>64</v>
      </c>
      <c r="D730" s="5" t="s">
        <v>1034</v>
      </c>
      <c r="E730" s="6" t="s">
        <v>16</v>
      </c>
      <c r="F730" s="6" t="s">
        <v>1023</v>
      </c>
      <c r="G730" s="6" t="s">
        <v>995</v>
      </c>
      <c r="H730" s="6">
        <v>20</v>
      </c>
      <c r="I730" s="6" t="s">
        <v>1008</v>
      </c>
      <c r="J730" s="6">
        <v>2</v>
      </c>
      <c r="K730" s="7" t="str">
        <f t="shared" si="8"/>
        <v>G352</v>
      </c>
      <c r="L730" s="8"/>
      <c r="M730" s="9" t="str">
        <f t="shared" si="9"/>
        <v>BSH1562</v>
      </c>
      <c r="N730" s="9">
        <f t="shared" si="10"/>
        <v>7</v>
      </c>
      <c r="O730" s="9" t="str">
        <f t="shared" si="11"/>
        <v>K/1BSH1562</v>
      </c>
    </row>
    <row r="731" spans="1:15" ht="17.5" x14ac:dyDescent="0.55000000000000004">
      <c r="A731" s="13" t="s">
        <v>1004</v>
      </c>
      <c r="B731" s="11" t="s">
        <v>52</v>
      </c>
      <c r="C731" s="11" t="s">
        <v>64</v>
      </c>
      <c r="D731" s="10" t="s">
        <v>1035</v>
      </c>
      <c r="E731" s="11" t="s">
        <v>16</v>
      </c>
      <c r="F731" s="11" t="s">
        <v>1036</v>
      </c>
      <c r="G731" s="11" t="s">
        <v>1021</v>
      </c>
      <c r="H731" s="11">
        <v>10</v>
      </c>
      <c r="I731" s="11" t="s">
        <v>1008</v>
      </c>
      <c r="J731" s="11">
        <v>2</v>
      </c>
      <c r="K731" s="7" t="str">
        <f t="shared" si="8"/>
        <v>G352</v>
      </c>
      <c r="L731" s="8"/>
      <c r="M731" s="9" t="str">
        <f t="shared" si="9"/>
        <v>BSH1652</v>
      </c>
      <c r="N731" s="9">
        <f t="shared" si="10"/>
        <v>7</v>
      </c>
      <c r="O731" s="9" t="str">
        <f t="shared" si="11"/>
        <v>K/1BSH1652</v>
      </c>
    </row>
    <row r="732" spans="1:15" ht="17.5" x14ac:dyDescent="0.55000000000000004">
      <c r="A732" s="12" t="s">
        <v>1004</v>
      </c>
      <c r="B732" s="6" t="s">
        <v>52</v>
      </c>
      <c r="C732" s="6" t="s">
        <v>862</v>
      </c>
      <c r="D732" s="5" t="s">
        <v>1034</v>
      </c>
      <c r="E732" s="6" t="s">
        <v>50</v>
      </c>
      <c r="F732" s="6" t="s">
        <v>1023</v>
      </c>
      <c r="G732" s="6" t="s">
        <v>1037</v>
      </c>
      <c r="H732" s="6">
        <v>20</v>
      </c>
      <c r="I732" s="6" t="s">
        <v>1008</v>
      </c>
      <c r="J732" s="6">
        <v>2</v>
      </c>
      <c r="K732" s="7" t="str">
        <f t="shared" si="8"/>
        <v>G352</v>
      </c>
      <c r="L732" s="8"/>
      <c r="M732" s="9" t="str">
        <f t="shared" si="9"/>
        <v>BSH1562</v>
      </c>
      <c r="N732" s="9">
        <f t="shared" si="10"/>
        <v>7</v>
      </c>
      <c r="O732" s="9" t="str">
        <f t="shared" si="11"/>
        <v>P/1BSH1562</v>
      </c>
    </row>
    <row r="733" spans="1:15" ht="17.5" x14ac:dyDescent="0.55000000000000004">
      <c r="A733" s="13" t="s">
        <v>1004</v>
      </c>
      <c r="B733" s="11" t="s">
        <v>52</v>
      </c>
      <c r="C733" s="11" t="s">
        <v>862</v>
      </c>
      <c r="D733" s="10" t="s">
        <v>1035</v>
      </c>
      <c r="E733" s="11" t="s">
        <v>50</v>
      </c>
      <c r="F733" s="11" t="s">
        <v>1036</v>
      </c>
      <c r="G733" s="11" t="s">
        <v>1021</v>
      </c>
      <c r="H733" s="11">
        <v>10</v>
      </c>
      <c r="I733" s="11" t="s">
        <v>1008</v>
      </c>
      <c r="J733" s="11">
        <v>2</v>
      </c>
      <c r="K733" s="7" t="str">
        <f t="shared" si="8"/>
        <v>G352</v>
      </c>
      <c r="L733" s="8"/>
      <c r="M733" s="9" t="str">
        <f t="shared" si="9"/>
        <v>BSH1652</v>
      </c>
      <c r="N733" s="9">
        <f t="shared" si="10"/>
        <v>7</v>
      </c>
      <c r="O733" s="9" t="str">
        <f t="shared" si="11"/>
        <v>P/1BSH1652</v>
      </c>
    </row>
    <row r="734" spans="1:15" ht="17.5" x14ac:dyDescent="0.55000000000000004">
      <c r="A734" s="5" t="s">
        <v>1038</v>
      </c>
      <c r="B734" s="6" t="s">
        <v>13</v>
      </c>
      <c r="C734" s="6" t="s">
        <v>14</v>
      </c>
      <c r="D734" s="5" t="s">
        <v>1039</v>
      </c>
      <c r="E734" s="6" t="s">
        <v>16</v>
      </c>
      <c r="F734" s="6" t="s">
        <v>1040</v>
      </c>
      <c r="G734" s="6" t="s">
        <v>1024</v>
      </c>
      <c r="H734" s="6">
        <v>10</v>
      </c>
      <c r="I734" s="6" t="s">
        <v>1041</v>
      </c>
      <c r="J734" s="6">
        <v>2</v>
      </c>
      <c r="K734" s="7" t="str">
        <f t="shared" si="8"/>
        <v>G353</v>
      </c>
      <c r="L734" s="8"/>
      <c r="M734" s="9" t="str">
        <f t="shared" si="9"/>
        <v>BOT1535</v>
      </c>
      <c r="N734" s="9">
        <f t="shared" si="10"/>
        <v>7</v>
      </c>
      <c r="O734" s="9" t="str">
        <f t="shared" si="11"/>
        <v>K/1BOT1535</v>
      </c>
    </row>
    <row r="735" spans="1:15" ht="17.5" x14ac:dyDescent="0.55000000000000004">
      <c r="A735" s="10" t="s">
        <v>1038</v>
      </c>
      <c r="B735" s="11" t="s">
        <v>13</v>
      </c>
      <c r="C735" s="11" t="s">
        <v>25</v>
      </c>
      <c r="D735" s="10" t="s">
        <v>1042</v>
      </c>
      <c r="E735" s="11" t="s">
        <v>16</v>
      </c>
      <c r="F735" s="11" t="s">
        <v>1043</v>
      </c>
      <c r="G735" s="11" t="s">
        <v>1015</v>
      </c>
      <c r="H735" s="11">
        <v>10</v>
      </c>
      <c r="I735" s="11" t="s">
        <v>1041</v>
      </c>
      <c r="J735" s="11">
        <v>2</v>
      </c>
      <c r="K735" s="7" t="str">
        <f t="shared" si="8"/>
        <v>G353</v>
      </c>
      <c r="L735" s="8"/>
      <c r="M735" s="9" t="str">
        <f t="shared" si="9"/>
        <v>BOT1544</v>
      </c>
      <c r="N735" s="9">
        <f t="shared" si="10"/>
        <v>7</v>
      </c>
      <c r="O735" s="9" t="str">
        <f t="shared" si="11"/>
        <v>K/1BOT1544</v>
      </c>
    </row>
    <row r="736" spans="1:15" ht="17.5" x14ac:dyDescent="0.55000000000000004">
      <c r="A736" s="5" t="s">
        <v>1038</v>
      </c>
      <c r="B736" s="6" t="s">
        <v>13</v>
      </c>
      <c r="C736" s="6" t="s">
        <v>25</v>
      </c>
      <c r="D736" s="5" t="s">
        <v>1044</v>
      </c>
      <c r="E736" s="6" t="s">
        <v>16</v>
      </c>
      <c r="F736" s="6" t="s">
        <v>733</v>
      </c>
      <c r="G736" s="6" t="s">
        <v>17</v>
      </c>
      <c r="H736" s="6">
        <v>0</v>
      </c>
      <c r="I736" s="6" t="s">
        <v>1045</v>
      </c>
      <c r="J736" s="6">
        <v>2</v>
      </c>
      <c r="K736" s="7" t="str">
        <f t="shared" si="8"/>
        <v>G353</v>
      </c>
      <c r="L736" s="8"/>
      <c r="M736" s="9" t="str">
        <f t="shared" si="9"/>
        <v>BOT1633</v>
      </c>
      <c r="N736" s="9">
        <f t="shared" si="10"/>
        <v>7</v>
      </c>
      <c r="O736" s="9" t="str">
        <f t="shared" si="11"/>
        <v>K/1BOT1633</v>
      </c>
    </row>
    <row r="737" spans="1:15" ht="17.5" x14ac:dyDescent="0.55000000000000004">
      <c r="A737" s="10" t="s">
        <v>1038</v>
      </c>
      <c r="B737" s="11" t="s">
        <v>13</v>
      </c>
      <c r="C737" s="11" t="s">
        <v>1046</v>
      </c>
      <c r="D737" s="10" t="s">
        <v>1042</v>
      </c>
      <c r="E737" s="11" t="s">
        <v>50</v>
      </c>
      <c r="F737" s="11" t="s">
        <v>1043</v>
      </c>
      <c r="G737" s="11" t="s">
        <v>17</v>
      </c>
      <c r="H737" s="11">
        <v>0</v>
      </c>
      <c r="I737" s="11" t="s">
        <v>1041</v>
      </c>
      <c r="J737" s="11">
        <v>2</v>
      </c>
      <c r="K737" s="7" t="str">
        <f t="shared" si="8"/>
        <v>G353</v>
      </c>
      <c r="L737" s="8"/>
      <c r="M737" s="9" t="str">
        <f t="shared" si="9"/>
        <v>BOT1544</v>
      </c>
      <c r="N737" s="9">
        <f t="shared" si="10"/>
        <v>7</v>
      </c>
      <c r="O737" s="9" t="str">
        <f t="shared" si="11"/>
        <v>P/1BOT1544</v>
      </c>
    </row>
    <row r="738" spans="1:15" ht="17.5" x14ac:dyDescent="0.55000000000000004">
      <c r="A738" s="5" t="s">
        <v>1038</v>
      </c>
      <c r="B738" s="6" t="s">
        <v>13</v>
      </c>
      <c r="C738" s="6" t="s">
        <v>64</v>
      </c>
      <c r="D738" s="5" t="s">
        <v>1047</v>
      </c>
      <c r="E738" s="6" t="s">
        <v>16</v>
      </c>
      <c r="F738" s="6" t="s">
        <v>1048</v>
      </c>
      <c r="G738" s="6" t="s">
        <v>1018</v>
      </c>
      <c r="H738" s="6">
        <v>10</v>
      </c>
      <c r="I738" s="6" t="s">
        <v>1045</v>
      </c>
      <c r="J738" s="6">
        <v>2</v>
      </c>
      <c r="K738" s="7" t="str">
        <f t="shared" si="8"/>
        <v>G353</v>
      </c>
      <c r="L738" s="8"/>
      <c r="M738" s="9" t="str">
        <f t="shared" si="9"/>
        <v>BOT1636</v>
      </c>
      <c r="N738" s="9">
        <f t="shared" si="10"/>
        <v>7</v>
      </c>
      <c r="O738" s="9" t="str">
        <f t="shared" si="11"/>
        <v>K/1BOT1636</v>
      </c>
    </row>
    <row r="739" spans="1:15" ht="17.5" x14ac:dyDescent="0.55000000000000004">
      <c r="A739" s="10" t="s">
        <v>1038</v>
      </c>
      <c r="B739" s="11" t="s">
        <v>13</v>
      </c>
      <c r="C739" s="11" t="s">
        <v>64</v>
      </c>
      <c r="D739" s="10" t="s">
        <v>1049</v>
      </c>
      <c r="E739" s="11" t="s">
        <v>16</v>
      </c>
      <c r="F739" s="11" t="s">
        <v>1050</v>
      </c>
      <c r="G739" s="11" t="s">
        <v>1024</v>
      </c>
      <c r="H739" s="11">
        <v>10</v>
      </c>
      <c r="I739" s="11" t="s">
        <v>1045</v>
      </c>
      <c r="J739" s="11">
        <v>2</v>
      </c>
      <c r="K739" s="7" t="str">
        <f t="shared" si="8"/>
        <v>G353</v>
      </c>
      <c r="L739" s="8"/>
      <c r="M739" s="9" t="str">
        <f t="shared" si="9"/>
        <v>BOT1642</v>
      </c>
      <c r="N739" s="9">
        <f t="shared" si="10"/>
        <v>7</v>
      </c>
      <c r="O739" s="9" t="str">
        <f t="shared" si="11"/>
        <v>K/1BOT1642</v>
      </c>
    </row>
    <row r="740" spans="1:15" ht="17.5" x14ac:dyDescent="0.55000000000000004">
      <c r="A740" s="5" t="s">
        <v>1038</v>
      </c>
      <c r="B740" s="6" t="s">
        <v>31</v>
      </c>
      <c r="C740" s="6" t="s">
        <v>14</v>
      </c>
      <c r="D740" s="5" t="s">
        <v>1051</v>
      </c>
      <c r="E740" s="6" t="s">
        <v>16</v>
      </c>
      <c r="F740" s="6" t="s">
        <v>1040</v>
      </c>
      <c r="G740" s="6" t="s">
        <v>1015</v>
      </c>
      <c r="H740" s="6">
        <v>10</v>
      </c>
      <c r="I740" s="6" t="s">
        <v>1045</v>
      </c>
      <c r="J740" s="6">
        <v>2</v>
      </c>
      <c r="K740" s="7" t="str">
        <f t="shared" si="8"/>
        <v>G353</v>
      </c>
      <c r="L740" s="8"/>
      <c r="M740" s="9" t="str">
        <f t="shared" si="9"/>
        <v>BOT1637</v>
      </c>
      <c r="N740" s="9">
        <f t="shared" si="10"/>
        <v>7</v>
      </c>
      <c r="O740" s="9" t="str">
        <f t="shared" si="11"/>
        <v>K/1BOT1637</v>
      </c>
    </row>
    <row r="741" spans="1:15" ht="17.5" x14ac:dyDescent="0.55000000000000004">
      <c r="A741" s="10" t="s">
        <v>1038</v>
      </c>
      <c r="B741" s="11" t="s">
        <v>31</v>
      </c>
      <c r="C741" s="11" t="s">
        <v>1052</v>
      </c>
      <c r="D741" s="10" t="s">
        <v>1053</v>
      </c>
      <c r="E741" s="11" t="s">
        <v>50</v>
      </c>
      <c r="F741" s="11" t="s">
        <v>1054</v>
      </c>
      <c r="G741" s="11" t="s">
        <v>17</v>
      </c>
      <c r="H741" s="11">
        <v>0</v>
      </c>
      <c r="I741" s="11" t="s">
        <v>1041</v>
      </c>
      <c r="J741" s="11">
        <v>2</v>
      </c>
      <c r="K741" s="7" t="str">
        <f t="shared" si="8"/>
        <v>G353</v>
      </c>
      <c r="L741" s="8"/>
      <c r="M741" s="9" t="str">
        <f t="shared" si="9"/>
        <v>BOT1635</v>
      </c>
      <c r="N741" s="9">
        <f t="shared" si="10"/>
        <v>7</v>
      </c>
      <c r="O741" s="9" t="str">
        <f t="shared" si="11"/>
        <v>P/1BOT1635</v>
      </c>
    </row>
    <row r="742" spans="1:15" ht="17.5" x14ac:dyDescent="0.55000000000000004">
      <c r="A742" s="5" t="s">
        <v>1038</v>
      </c>
      <c r="B742" s="6" t="s">
        <v>41</v>
      </c>
      <c r="C742" s="6" t="s">
        <v>235</v>
      </c>
      <c r="D742" s="5" t="s">
        <v>1055</v>
      </c>
      <c r="E742" s="6" t="s">
        <v>16</v>
      </c>
      <c r="F742" s="6" t="s">
        <v>1043</v>
      </c>
      <c r="G742" s="6" t="s">
        <v>1018</v>
      </c>
      <c r="H742" s="6">
        <v>10</v>
      </c>
      <c r="I742" s="6" t="s">
        <v>1041</v>
      </c>
      <c r="J742" s="6">
        <v>2</v>
      </c>
      <c r="K742" s="7" t="str">
        <f t="shared" si="8"/>
        <v>G353</v>
      </c>
      <c r="L742" s="8"/>
      <c r="M742" s="9" t="str">
        <f t="shared" si="9"/>
        <v>BOT1543</v>
      </c>
      <c r="N742" s="9">
        <f t="shared" si="10"/>
        <v>7</v>
      </c>
      <c r="O742" s="9" t="str">
        <f t="shared" si="11"/>
        <v>K/1BOT1543</v>
      </c>
    </row>
    <row r="743" spans="1:15" ht="17.5" x14ac:dyDescent="0.55000000000000004">
      <c r="A743" s="10" t="s">
        <v>1038</v>
      </c>
      <c r="B743" s="11" t="s">
        <v>47</v>
      </c>
      <c r="C743" s="11" t="s">
        <v>132</v>
      </c>
      <c r="D743" s="10" t="s">
        <v>1056</v>
      </c>
      <c r="E743" s="11" t="s">
        <v>16</v>
      </c>
      <c r="F743" s="11" t="s">
        <v>1040</v>
      </c>
      <c r="G743" s="11" t="s">
        <v>1015</v>
      </c>
      <c r="H743" s="11">
        <v>10</v>
      </c>
      <c r="I743" s="11" t="s">
        <v>1041</v>
      </c>
      <c r="J743" s="11">
        <v>2</v>
      </c>
      <c r="K743" s="7" t="str">
        <f t="shared" si="8"/>
        <v>G353</v>
      </c>
      <c r="L743" s="8"/>
      <c r="M743" s="9" t="str">
        <f t="shared" si="9"/>
        <v>BOT1534</v>
      </c>
      <c r="N743" s="9">
        <f t="shared" si="10"/>
        <v>7</v>
      </c>
      <c r="O743" s="9" t="str">
        <f t="shared" si="11"/>
        <v>K/1BOT1534</v>
      </c>
    </row>
    <row r="744" spans="1:15" ht="17.5" x14ac:dyDescent="0.55000000000000004">
      <c r="A744" s="5" t="s">
        <v>1038</v>
      </c>
      <c r="B744" s="6" t="s">
        <v>47</v>
      </c>
      <c r="C744" s="6" t="s">
        <v>14</v>
      </c>
      <c r="D744" s="5" t="s">
        <v>1057</v>
      </c>
      <c r="E744" s="6" t="s">
        <v>16</v>
      </c>
      <c r="F744" s="6" t="s">
        <v>1058</v>
      </c>
      <c r="G744" s="6" t="s">
        <v>1021</v>
      </c>
      <c r="H744" s="6">
        <v>10</v>
      </c>
      <c r="I744" s="6" t="s">
        <v>1041</v>
      </c>
      <c r="J744" s="6">
        <v>2</v>
      </c>
      <c r="K744" s="7" t="str">
        <f t="shared" si="8"/>
        <v>G353</v>
      </c>
      <c r="L744" s="8"/>
      <c r="M744" s="9" t="str">
        <f t="shared" si="9"/>
        <v>BOT1533</v>
      </c>
      <c r="N744" s="9">
        <f t="shared" si="10"/>
        <v>7</v>
      </c>
      <c r="O744" s="9" t="str">
        <f t="shared" si="11"/>
        <v>K/1BOT1533</v>
      </c>
    </row>
    <row r="745" spans="1:15" ht="17.5" x14ac:dyDescent="0.55000000000000004">
      <c r="A745" s="10" t="s">
        <v>1038</v>
      </c>
      <c r="B745" s="11" t="s">
        <v>47</v>
      </c>
      <c r="C745" s="11" t="s">
        <v>14</v>
      </c>
      <c r="D745" s="10" t="s">
        <v>1059</v>
      </c>
      <c r="E745" s="11" t="s">
        <v>16</v>
      </c>
      <c r="F745" s="11" t="s">
        <v>1060</v>
      </c>
      <c r="G745" s="11" t="s">
        <v>1018</v>
      </c>
      <c r="H745" s="11">
        <v>10</v>
      </c>
      <c r="I745" s="11" t="s">
        <v>1045</v>
      </c>
      <c r="J745" s="11">
        <v>2</v>
      </c>
      <c r="K745" s="7" t="str">
        <f t="shared" si="8"/>
        <v>G353</v>
      </c>
      <c r="L745" s="8"/>
      <c r="M745" s="9" t="str">
        <f t="shared" si="9"/>
        <v>BOT1646</v>
      </c>
      <c r="N745" s="9">
        <f t="shared" si="10"/>
        <v>7</v>
      </c>
      <c r="O745" s="9" t="str">
        <f t="shared" si="11"/>
        <v>K/1BOT1646</v>
      </c>
    </row>
    <row r="746" spans="1:15" ht="17.5" x14ac:dyDescent="0.55000000000000004">
      <c r="A746" s="5" t="s">
        <v>1038</v>
      </c>
      <c r="B746" s="6" t="s">
        <v>47</v>
      </c>
      <c r="C746" s="6" t="s">
        <v>385</v>
      </c>
      <c r="D746" s="5" t="s">
        <v>1061</v>
      </c>
      <c r="E746" s="6" t="s">
        <v>16</v>
      </c>
      <c r="F746" s="6" t="s">
        <v>1062</v>
      </c>
      <c r="G746" s="6" t="s">
        <v>1024</v>
      </c>
      <c r="H746" s="6">
        <v>10</v>
      </c>
      <c r="I746" s="6" t="s">
        <v>1045</v>
      </c>
      <c r="J746" s="6">
        <v>2</v>
      </c>
      <c r="K746" s="7" t="str">
        <f t="shared" si="8"/>
        <v>G353</v>
      </c>
      <c r="L746" s="8"/>
      <c r="M746" s="9" t="str">
        <f t="shared" si="9"/>
        <v>BOT1631</v>
      </c>
      <c r="N746" s="9">
        <f t="shared" si="10"/>
        <v>7</v>
      </c>
      <c r="O746" s="9" t="str">
        <f t="shared" si="11"/>
        <v>K/1BOT1631</v>
      </c>
    </row>
    <row r="747" spans="1:15" ht="17.5" x14ac:dyDescent="0.55000000000000004">
      <c r="A747" s="10" t="s">
        <v>1038</v>
      </c>
      <c r="B747" s="11" t="s">
        <v>47</v>
      </c>
      <c r="C747" s="11" t="s">
        <v>1063</v>
      </c>
      <c r="D747" s="10" t="s">
        <v>1061</v>
      </c>
      <c r="E747" s="11" t="s">
        <v>50</v>
      </c>
      <c r="F747" s="11" t="s">
        <v>1062</v>
      </c>
      <c r="G747" s="11" t="s">
        <v>17</v>
      </c>
      <c r="H747" s="11">
        <v>0</v>
      </c>
      <c r="I747" s="11" t="s">
        <v>1045</v>
      </c>
      <c r="J747" s="11">
        <v>2</v>
      </c>
      <c r="K747" s="7" t="str">
        <f t="shared" si="8"/>
        <v>G353</v>
      </c>
      <c r="L747" s="8"/>
      <c r="M747" s="9" t="str">
        <f t="shared" si="9"/>
        <v>BOT1631</v>
      </c>
      <c r="N747" s="9">
        <f t="shared" si="10"/>
        <v>7</v>
      </c>
      <c r="O747" s="9" t="str">
        <f t="shared" si="11"/>
        <v>P/1BOT1631</v>
      </c>
    </row>
    <row r="748" spans="1:15" ht="17.5" x14ac:dyDescent="0.55000000000000004">
      <c r="A748" s="5" t="s">
        <v>1038</v>
      </c>
      <c r="B748" s="6" t="s">
        <v>47</v>
      </c>
      <c r="C748" s="6" t="s">
        <v>64</v>
      </c>
      <c r="D748" s="5" t="s">
        <v>1064</v>
      </c>
      <c r="E748" s="6" t="s">
        <v>16</v>
      </c>
      <c r="F748" s="6" t="s">
        <v>1060</v>
      </c>
      <c r="G748" s="6" t="s">
        <v>1021</v>
      </c>
      <c r="H748" s="6">
        <v>10</v>
      </c>
      <c r="I748" s="6" t="s">
        <v>1041</v>
      </c>
      <c r="J748" s="6">
        <v>2</v>
      </c>
      <c r="K748" s="7" t="str">
        <f t="shared" si="8"/>
        <v>G353</v>
      </c>
      <c r="L748" s="8"/>
      <c r="M748" s="9" t="str">
        <f t="shared" si="9"/>
        <v>BOT1545</v>
      </c>
      <c r="N748" s="9">
        <f t="shared" si="10"/>
        <v>7</v>
      </c>
      <c r="O748" s="9" t="str">
        <f t="shared" si="11"/>
        <v>K/1BOT1545</v>
      </c>
    </row>
    <row r="749" spans="1:15" ht="17.5" x14ac:dyDescent="0.55000000000000004">
      <c r="A749" s="10" t="s">
        <v>1038</v>
      </c>
      <c r="B749" s="11" t="s">
        <v>47</v>
      </c>
      <c r="C749" s="11" t="s">
        <v>235</v>
      </c>
      <c r="D749" s="10" t="s">
        <v>1065</v>
      </c>
      <c r="E749" s="11" t="s">
        <v>16</v>
      </c>
      <c r="F749" s="11" t="s">
        <v>1060</v>
      </c>
      <c r="G749" s="11" t="s">
        <v>1018</v>
      </c>
      <c r="H749" s="11">
        <v>10</v>
      </c>
      <c r="I749" s="11" t="s">
        <v>1045</v>
      </c>
      <c r="J749" s="11">
        <v>2</v>
      </c>
      <c r="K749" s="7" t="str">
        <f t="shared" si="8"/>
        <v>G353</v>
      </c>
      <c r="L749" s="8"/>
      <c r="M749" s="9" t="str">
        <f t="shared" si="9"/>
        <v>BOT1645</v>
      </c>
      <c r="N749" s="9">
        <f t="shared" si="10"/>
        <v>7</v>
      </c>
      <c r="O749" s="9" t="str">
        <f t="shared" si="11"/>
        <v>K/1BOT1645</v>
      </c>
    </row>
    <row r="750" spans="1:15" ht="17.5" x14ac:dyDescent="0.55000000000000004">
      <c r="A750" s="5" t="s">
        <v>1038</v>
      </c>
      <c r="B750" s="6" t="s">
        <v>47</v>
      </c>
      <c r="C750" s="6" t="s">
        <v>101</v>
      </c>
      <c r="D750" s="5" t="s">
        <v>1066</v>
      </c>
      <c r="E750" s="6" t="s">
        <v>16</v>
      </c>
      <c r="F750" s="6" t="s">
        <v>1060</v>
      </c>
      <c r="G750" s="6" t="s">
        <v>1021</v>
      </c>
      <c r="H750" s="6">
        <v>10</v>
      </c>
      <c r="I750" s="6" t="s">
        <v>1045</v>
      </c>
      <c r="J750" s="6">
        <v>2</v>
      </c>
      <c r="K750" s="7" t="str">
        <f t="shared" si="8"/>
        <v>G353</v>
      </c>
      <c r="L750" s="8"/>
      <c r="M750" s="9" t="str">
        <f t="shared" si="9"/>
        <v>BOT1644</v>
      </c>
      <c r="N750" s="9">
        <f t="shared" si="10"/>
        <v>7</v>
      </c>
      <c r="O750" s="9" t="str">
        <f t="shared" si="11"/>
        <v>K/1BOT1644</v>
      </c>
    </row>
    <row r="751" spans="1:15" ht="17.5" x14ac:dyDescent="0.55000000000000004">
      <c r="A751" s="10" t="s">
        <v>1038</v>
      </c>
      <c r="B751" s="11" t="s">
        <v>52</v>
      </c>
      <c r="C751" s="11" t="s">
        <v>487</v>
      </c>
      <c r="D751" s="10" t="s">
        <v>1067</v>
      </c>
      <c r="E751" s="11" t="s">
        <v>50</v>
      </c>
      <c r="F751" s="11" t="s">
        <v>1058</v>
      </c>
      <c r="G751" s="11" t="s">
        <v>1037</v>
      </c>
      <c r="H751" s="11">
        <v>20</v>
      </c>
      <c r="I751" s="11" t="s">
        <v>1045</v>
      </c>
      <c r="J751" s="11">
        <v>2</v>
      </c>
      <c r="K751" s="7" t="str">
        <f t="shared" si="8"/>
        <v>G353</v>
      </c>
      <c r="L751" s="8"/>
      <c r="M751" s="9" t="str">
        <f t="shared" si="9"/>
        <v>BOT1634</v>
      </c>
      <c r="N751" s="9">
        <f t="shared" si="10"/>
        <v>7</v>
      </c>
      <c r="O751" s="9" t="str">
        <f t="shared" si="11"/>
        <v>P/1BOT1634</v>
      </c>
    </row>
    <row r="752" spans="1:15" ht="17.5" x14ac:dyDescent="0.55000000000000004">
      <c r="A752" s="5" t="s">
        <v>1038</v>
      </c>
      <c r="B752" s="6" t="s">
        <v>195</v>
      </c>
      <c r="C752" s="6" t="s">
        <v>1068</v>
      </c>
      <c r="D752" s="5" t="s">
        <v>1069</v>
      </c>
      <c r="E752" s="6" t="s">
        <v>50</v>
      </c>
      <c r="F752" s="6" t="s">
        <v>1060</v>
      </c>
      <c r="G752" s="6" t="s">
        <v>17</v>
      </c>
      <c r="H752" s="6">
        <v>0</v>
      </c>
      <c r="I752" s="6" t="s">
        <v>1045</v>
      </c>
      <c r="J752" s="6">
        <v>2</v>
      </c>
      <c r="K752" s="7" t="str">
        <f t="shared" si="8"/>
        <v>G353</v>
      </c>
      <c r="L752" s="8"/>
      <c r="M752" s="9" t="str">
        <f t="shared" si="9"/>
        <v>BOT1643</v>
      </c>
      <c r="N752" s="9">
        <f t="shared" si="10"/>
        <v>7</v>
      </c>
      <c r="O752" s="9" t="str">
        <f t="shared" si="11"/>
        <v>P/1BOT1643</v>
      </c>
    </row>
    <row r="753" spans="1:15" ht="17.5" x14ac:dyDescent="0.55000000000000004">
      <c r="A753" s="10" t="s">
        <v>1038</v>
      </c>
      <c r="B753" s="11" t="s">
        <v>195</v>
      </c>
      <c r="C753" s="11" t="s">
        <v>1070</v>
      </c>
      <c r="D753" s="10" t="s">
        <v>1071</v>
      </c>
      <c r="E753" s="11" t="s">
        <v>50</v>
      </c>
      <c r="F753" s="11" t="s">
        <v>1072</v>
      </c>
      <c r="G753" s="11" t="s">
        <v>1003</v>
      </c>
      <c r="H753" s="11">
        <v>20</v>
      </c>
      <c r="I753" s="11" t="s">
        <v>1045</v>
      </c>
      <c r="J753" s="11">
        <v>2</v>
      </c>
      <c r="K753" s="7" t="str">
        <f t="shared" si="8"/>
        <v>G353</v>
      </c>
      <c r="L753" s="8"/>
      <c r="M753" s="9" t="str">
        <f t="shared" si="9"/>
        <v>BOT1641</v>
      </c>
      <c r="N753" s="9">
        <f t="shared" si="10"/>
        <v>7</v>
      </c>
      <c r="O753" s="9" t="str">
        <f t="shared" si="11"/>
        <v>P/1BOT1641</v>
      </c>
    </row>
    <row r="754" spans="1:15" ht="17.5" x14ac:dyDescent="0.55000000000000004">
      <c r="A754" s="12" t="s">
        <v>1073</v>
      </c>
      <c r="B754" s="6" t="s">
        <v>13</v>
      </c>
      <c r="C754" s="6" t="s">
        <v>276</v>
      </c>
      <c r="D754" s="12" t="s">
        <v>1074</v>
      </c>
      <c r="E754" s="6" t="s">
        <v>16</v>
      </c>
      <c r="F754" s="6" t="s">
        <v>1075</v>
      </c>
      <c r="G754" s="6" t="s">
        <v>17</v>
      </c>
      <c r="H754" s="6">
        <v>0</v>
      </c>
      <c r="I754" s="6" t="s">
        <v>1076</v>
      </c>
      <c r="J754" s="6">
        <v>2</v>
      </c>
      <c r="K754" s="7" t="str">
        <f t="shared" si="8"/>
        <v>G451</v>
      </c>
      <c r="L754" s="8"/>
      <c r="M754" s="9" t="str">
        <f t="shared" si="9"/>
        <v>KIM1638</v>
      </c>
      <c r="N754" s="9">
        <f t="shared" si="10"/>
        <v>7</v>
      </c>
      <c r="O754" s="9" t="str">
        <f t="shared" si="11"/>
        <v>K/1KIM1638</v>
      </c>
    </row>
    <row r="755" spans="1:15" ht="17.5" x14ac:dyDescent="0.55000000000000004">
      <c r="A755" s="13" t="s">
        <v>1073</v>
      </c>
      <c r="B755" s="11" t="s">
        <v>13</v>
      </c>
      <c r="C755" s="11" t="s">
        <v>64</v>
      </c>
      <c r="D755" s="13" t="s">
        <v>1077</v>
      </c>
      <c r="E755" s="11" t="s">
        <v>16</v>
      </c>
      <c r="F755" s="11" t="s">
        <v>1078</v>
      </c>
      <c r="G755" s="11" t="s">
        <v>17</v>
      </c>
      <c r="H755" s="11">
        <v>0</v>
      </c>
      <c r="I755" s="11" t="s">
        <v>1076</v>
      </c>
      <c r="J755" s="11">
        <v>2</v>
      </c>
      <c r="K755" s="7" t="str">
        <f t="shared" si="8"/>
        <v>G451</v>
      </c>
      <c r="L755" s="8"/>
      <c r="M755" s="9" t="str">
        <f t="shared" si="9"/>
        <v>KIM1616</v>
      </c>
      <c r="N755" s="9">
        <f t="shared" si="10"/>
        <v>7</v>
      </c>
      <c r="O755" s="9" t="str">
        <f t="shared" si="11"/>
        <v>K/1KIM1616</v>
      </c>
    </row>
    <row r="756" spans="1:15" ht="17.5" x14ac:dyDescent="0.55000000000000004">
      <c r="A756" s="12" t="s">
        <v>1073</v>
      </c>
      <c r="B756" s="6" t="s">
        <v>31</v>
      </c>
      <c r="C756" s="6" t="s">
        <v>283</v>
      </c>
      <c r="D756" s="12" t="s">
        <v>1079</v>
      </c>
      <c r="E756" s="6" t="s">
        <v>16</v>
      </c>
      <c r="F756" s="6" t="s">
        <v>1075</v>
      </c>
      <c r="G756" s="6" t="s">
        <v>17</v>
      </c>
      <c r="H756" s="6">
        <v>0</v>
      </c>
      <c r="I756" s="6" t="s">
        <v>1076</v>
      </c>
      <c r="J756" s="6">
        <v>2</v>
      </c>
      <c r="K756" s="7" t="str">
        <f t="shared" si="8"/>
        <v>G451</v>
      </c>
      <c r="L756" s="8"/>
      <c r="M756" s="9" t="str">
        <f t="shared" si="9"/>
        <v>KIM1654</v>
      </c>
      <c r="N756" s="9">
        <f t="shared" si="10"/>
        <v>7</v>
      </c>
      <c r="O756" s="9" t="str">
        <f t="shared" si="11"/>
        <v>K/1KIM1654</v>
      </c>
    </row>
    <row r="757" spans="1:15" ht="17.5" x14ac:dyDescent="0.55000000000000004">
      <c r="A757" s="13" t="s">
        <v>1073</v>
      </c>
      <c r="B757" s="11" t="s">
        <v>31</v>
      </c>
      <c r="C757" s="11" t="s">
        <v>260</v>
      </c>
      <c r="D757" s="13" t="s">
        <v>1080</v>
      </c>
      <c r="E757" s="11" t="s">
        <v>16</v>
      </c>
      <c r="F757" s="11" t="s">
        <v>1081</v>
      </c>
      <c r="G757" s="11" t="s">
        <v>17</v>
      </c>
      <c r="H757" s="11">
        <v>0</v>
      </c>
      <c r="I757" s="11" t="s">
        <v>1076</v>
      </c>
      <c r="J757" s="11">
        <v>2</v>
      </c>
      <c r="K757" s="7" t="str">
        <f t="shared" si="8"/>
        <v>G451</v>
      </c>
      <c r="L757" s="8"/>
      <c r="M757" s="9" t="str">
        <f t="shared" si="9"/>
        <v>KIM1617</v>
      </c>
      <c r="N757" s="9">
        <f t="shared" si="10"/>
        <v>7</v>
      </c>
      <c r="O757" s="9" t="str">
        <f t="shared" si="11"/>
        <v>K/1KIM1617</v>
      </c>
    </row>
    <row r="758" spans="1:15" ht="17.5" x14ac:dyDescent="0.55000000000000004">
      <c r="A758" s="12" t="s">
        <v>1073</v>
      </c>
      <c r="B758" s="6" t="s">
        <v>41</v>
      </c>
      <c r="C758" s="6" t="s">
        <v>64</v>
      </c>
      <c r="D758" s="12" t="s">
        <v>1082</v>
      </c>
      <c r="E758" s="6" t="s">
        <v>16</v>
      </c>
      <c r="F758" s="6" t="s">
        <v>1083</v>
      </c>
      <c r="G758" s="6" t="s">
        <v>17</v>
      </c>
      <c r="H758" s="6">
        <v>0</v>
      </c>
      <c r="I758" s="6" t="s">
        <v>1084</v>
      </c>
      <c r="J758" s="6">
        <v>2</v>
      </c>
      <c r="K758" s="7" t="str">
        <f t="shared" si="8"/>
        <v>G451</v>
      </c>
      <c r="L758" s="8"/>
      <c r="M758" s="9" t="str">
        <f t="shared" si="9"/>
        <v>KIM1502</v>
      </c>
      <c r="N758" s="9">
        <f t="shared" si="10"/>
        <v>7</v>
      </c>
      <c r="O758" s="9" t="str">
        <f t="shared" si="11"/>
        <v>K/1KIM1502</v>
      </c>
    </row>
    <row r="759" spans="1:15" ht="17.5" x14ac:dyDescent="0.55000000000000004">
      <c r="A759" s="13" t="s">
        <v>1073</v>
      </c>
      <c r="B759" s="11" t="s">
        <v>47</v>
      </c>
      <c r="C759" s="11" t="s">
        <v>53</v>
      </c>
      <c r="D759" s="13" t="s">
        <v>1085</v>
      </c>
      <c r="E759" s="11" t="s">
        <v>16</v>
      </c>
      <c r="F759" s="11" t="s">
        <v>1083</v>
      </c>
      <c r="G759" s="11" t="s">
        <v>17</v>
      </c>
      <c r="H759" s="11">
        <v>0</v>
      </c>
      <c r="I759" s="11" t="s">
        <v>1076</v>
      </c>
      <c r="J759" s="11">
        <v>2</v>
      </c>
      <c r="K759" s="7" t="str">
        <f t="shared" si="8"/>
        <v>G451</v>
      </c>
      <c r="L759" s="8"/>
      <c r="M759" s="9" t="str">
        <f t="shared" si="9"/>
        <v>KIM1637</v>
      </c>
      <c r="N759" s="9">
        <f t="shared" si="10"/>
        <v>7</v>
      </c>
      <c r="O759" s="9" t="str">
        <f t="shared" si="11"/>
        <v>K/1KIM1637</v>
      </c>
    </row>
    <row r="760" spans="1:15" ht="17.5" x14ac:dyDescent="0.55000000000000004">
      <c r="A760" s="12" t="s">
        <v>1073</v>
      </c>
      <c r="B760" s="6" t="s">
        <v>47</v>
      </c>
      <c r="C760" s="6" t="s">
        <v>642</v>
      </c>
      <c r="D760" s="12" t="s">
        <v>1086</v>
      </c>
      <c r="E760" s="6" t="s">
        <v>16</v>
      </c>
      <c r="F760" s="6" t="s">
        <v>1087</v>
      </c>
      <c r="G760" s="6" t="s">
        <v>17</v>
      </c>
      <c r="H760" s="6">
        <v>0</v>
      </c>
      <c r="I760" s="6" t="s">
        <v>1076</v>
      </c>
      <c r="J760" s="6">
        <v>2</v>
      </c>
      <c r="K760" s="7" t="str">
        <f t="shared" si="8"/>
        <v>G451</v>
      </c>
      <c r="L760" s="8"/>
      <c r="M760" s="9" t="str">
        <f t="shared" si="9"/>
        <v>KIM1641</v>
      </c>
      <c r="N760" s="9">
        <f t="shared" si="10"/>
        <v>7</v>
      </c>
      <c r="O760" s="9" t="str">
        <f t="shared" si="11"/>
        <v>K/1KIM1641</v>
      </c>
    </row>
    <row r="761" spans="1:15" ht="17.5" x14ac:dyDescent="0.55000000000000004">
      <c r="A761" s="13" t="s">
        <v>1073</v>
      </c>
      <c r="B761" s="11" t="s">
        <v>47</v>
      </c>
      <c r="C761" s="11" t="s">
        <v>290</v>
      </c>
      <c r="D761" s="13" t="s">
        <v>1082</v>
      </c>
      <c r="E761" s="11" t="s">
        <v>50</v>
      </c>
      <c r="F761" s="11" t="s">
        <v>1083</v>
      </c>
      <c r="G761" s="11" t="s">
        <v>17</v>
      </c>
      <c r="H761" s="11">
        <v>0</v>
      </c>
      <c r="I761" s="11" t="s">
        <v>1084</v>
      </c>
      <c r="J761" s="11">
        <v>2</v>
      </c>
      <c r="K761" s="7" t="str">
        <f t="shared" si="8"/>
        <v>G451</v>
      </c>
      <c r="L761" s="8"/>
      <c r="M761" s="9" t="str">
        <f t="shared" si="9"/>
        <v>KIM1502</v>
      </c>
      <c r="N761" s="9">
        <f t="shared" si="10"/>
        <v>7</v>
      </c>
      <c r="O761" s="9" t="str">
        <f t="shared" si="11"/>
        <v>P/1KIM1502</v>
      </c>
    </row>
    <row r="762" spans="1:15" ht="17.5" x14ac:dyDescent="0.55000000000000004">
      <c r="A762" s="12" t="s">
        <v>1088</v>
      </c>
      <c r="B762" s="6" t="s">
        <v>13</v>
      </c>
      <c r="C762" s="6" t="s">
        <v>14</v>
      </c>
      <c r="D762" s="12" t="s">
        <v>1089</v>
      </c>
      <c r="E762" s="6" t="s">
        <v>16</v>
      </c>
      <c r="F762" s="6"/>
      <c r="G762" s="6" t="s">
        <v>950</v>
      </c>
      <c r="H762" s="6">
        <v>40</v>
      </c>
      <c r="I762" s="6" t="s">
        <v>1090</v>
      </c>
      <c r="J762" s="6">
        <v>2</v>
      </c>
      <c r="K762" s="7" t="str">
        <f t="shared" si="8"/>
        <v>G551</v>
      </c>
      <c r="L762" s="8"/>
      <c r="M762" s="9" t="str">
        <f t="shared" si="9"/>
        <v>MAT1232</v>
      </c>
      <c r="N762" s="9">
        <f t="shared" si="10"/>
        <v>7</v>
      </c>
      <c r="O762" s="9" t="str">
        <f t="shared" si="11"/>
        <v>K/1MAT1232</v>
      </c>
    </row>
    <row r="763" spans="1:15" ht="17.5" x14ac:dyDescent="0.55000000000000004">
      <c r="A763" s="13" t="s">
        <v>1088</v>
      </c>
      <c r="B763" s="11" t="s">
        <v>31</v>
      </c>
      <c r="C763" s="11" t="s">
        <v>14</v>
      </c>
      <c r="D763" s="13" t="s">
        <v>1091</v>
      </c>
      <c r="E763" s="11" t="s">
        <v>16</v>
      </c>
      <c r="F763" s="11" t="s">
        <v>1092</v>
      </c>
      <c r="G763" s="11" t="s">
        <v>1093</v>
      </c>
      <c r="H763" s="11">
        <v>30</v>
      </c>
      <c r="I763" s="11" t="s">
        <v>1090</v>
      </c>
      <c r="J763" s="11">
        <v>2</v>
      </c>
      <c r="K763" s="7" t="str">
        <f t="shared" si="8"/>
        <v>G551</v>
      </c>
      <c r="L763" s="8"/>
      <c r="M763" s="9" t="str">
        <f t="shared" si="9"/>
        <v>MAT1554</v>
      </c>
      <c r="N763" s="9">
        <f t="shared" si="10"/>
        <v>7</v>
      </c>
      <c r="O763" s="9" t="str">
        <f t="shared" si="11"/>
        <v>K/1MAT1554</v>
      </c>
    </row>
    <row r="764" spans="1:15" ht="17.5" x14ac:dyDescent="0.55000000000000004">
      <c r="A764" s="12" t="s">
        <v>1088</v>
      </c>
      <c r="B764" s="6" t="s">
        <v>31</v>
      </c>
      <c r="C764" s="6" t="s">
        <v>25</v>
      </c>
      <c r="D764" s="12" t="s">
        <v>1094</v>
      </c>
      <c r="E764" s="6" t="s">
        <v>16</v>
      </c>
      <c r="F764" s="6" t="s">
        <v>1095</v>
      </c>
      <c r="G764" s="6" t="s">
        <v>1096</v>
      </c>
      <c r="H764" s="6">
        <v>26</v>
      </c>
      <c r="I764" s="6" t="s">
        <v>1090</v>
      </c>
      <c r="J764" s="6">
        <v>2</v>
      </c>
      <c r="K764" s="7" t="str">
        <f t="shared" si="8"/>
        <v>G551</v>
      </c>
      <c r="L764" s="8"/>
      <c r="M764" s="9" t="str">
        <f t="shared" si="9"/>
        <v>MAT1542</v>
      </c>
      <c r="N764" s="9">
        <f t="shared" si="10"/>
        <v>7</v>
      </c>
      <c r="O764" s="9" t="str">
        <f t="shared" si="11"/>
        <v>K/1MAT1542</v>
      </c>
    </row>
    <row r="765" spans="1:15" ht="17.5" x14ac:dyDescent="0.55000000000000004">
      <c r="A765" s="13" t="s">
        <v>1088</v>
      </c>
      <c r="B765" s="11" t="s">
        <v>31</v>
      </c>
      <c r="C765" s="11" t="s">
        <v>64</v>
      </c>
      <c r="D765" s="13" t="s">
        <v>1097</v>
      </c>
      <c r="E765" s="11" t="s">
        <v>16</v>
      </c>
      <c r="F765" s="11" t="s">
        <v>1098</v>
      </c>
      <c r="G765" s="11" t="s">
        <v>1096</v>
      </c>
      <c r="H765" s="11">
        <v>26</v>
      </c>
      <c r="I765" s="11" t="s">
        <v>1090</v>
      </c>
      <c r="J765" s="11">
        <v>2</v>
      </c>
      <c r="K765" s="7" t="str">
        <f t="shared" si="8"/>
        <v>G551</v>
      </c>
      <c r="L765" s="8"/>
      <c r="M765" s="9" t="str">
        <f t="shared" si="9"/>
        <v>MAT1524</v>
      </c>
      <c r="N765" s="9">
        <f t="shared" si="10"/>
        <v>7</v>
      </c>
      <c r="O765" s="9" t="str">
        <f t="shared" si="11"/>
        <v>K/1MAT1524</v>
      </c>
    </row>
    <row r="766" spans="1:15" ht="17.5" x14ac:dyDescent="0.55000000000000004">
      <c r="A766" s="12" t="s">
        <v>1088</v>
      </c>
      <c r="B766" s="6" t="s">
        <v>31</v>
      </c>
      <c r="C766" s="6" t="s">
        <v>64</v>
      </c>
      <c r="D766" s="12" t="s">
        <v>1099</v>
      </c>
      <c r="E766" s="6" t="s">
        <v>16</v>
      </c>
      <c r="F766" s="6" t="s">
        <v>1100</v>
      </c>
      <c r="G766" s="6" t="s">
        <v>17</v>
      </c>
      <c r="H766" s="6">
        <v>0</v>
      </c>
      <c r="I766" s="6" t="s">
        <v>1090</v>
      </c>
      <c r="J766" s="6">
        <v>2</v>
      </c>
      <c r="K766" s="7" t="str">
        <f t="shared" si="8"/>
        <v>G551</v>
      </c>
      <c r="L766" s="8"/>
      <c r="M766" s="9" t="str">
        <f t="shared" si="9"/>
        <v>MAT1556</v>
      </c>
      <c r="N766" s="9">
        <f t="shared" si="10"/>
        <v>7</v>
      </c>
      <c r="O766" s="9" t="str">
        <f t="shared" si="11"/>
        <v>K/1MAT1556</v>
      </c>
    </row>
    <row r="767" spans="1:15" ht="17.5" x14ac:dyDescent="0.55000000000000004">
      <c r="A767" s="13" t="s">
        <v>1088</v>
      </c>
      <c r="B767" s="11" t="s">
        <v>41</v>
      </c>
      <c r="C767" s="11" t="s">
        <v>64</v>
      </c>
      <c r="D767" s="13" t="s">
        <v>1089</v>
      </c>
      <c r="E767" s="11" t="s">
        <v>50</v>
      </c>
      <c r="F767" s="11"/>
      <c r="G767" s="11" t="s">
        <v>1101</v>
      </c>
      <c r="H767" s="11">
        <v>26</v>
      </c>
      <c r="I767" s="11" t="s">
        <v>1090</v>
      </c>
      <c r="J767" s="11">
        <v>2</v>
      </c>
      <c r="K767" s="7" t="str">
        <f t="shared" ref="K767:K1021" si="12">LEFT(A767,4)</f>
        <v>G551</v>
      </c>
      <c r="L767" s="8"/>
      <c r="M767" s="9" t="str">
        <f t="shared" ref="M767:M1021" si="13">LEFT(D767,7)</f>
        <v>MAT1232</v>
      </c>
      <c r="N767" s="9">
        <f t="shared" ref="N767:N1021" si="14">LEN(TRIM(M767))</f>
        <v>7</v>
      </c>
      <c r="O767" s="9" t="str">
        <f t="shared" ref="O767:O1021" si="15">E767&amp;LEFT(D767,7)</f>
        <v>P/1MAT1232</v>
      </c>
    </row>
    <row r="768" spans="1:15" ht="17.5" x14ac:dyDescent="0.55000000000000004">
      <c r="A768" s="12" t="s">
        <v>1088</v>
      </c>
      <c r="B768" s="6" t="s">
        <v>47</v>
      </c>
      <c r="C768" s="6" t="s">
        <v>14</v>
      </c>
      <c r="D768" s="12" t="s">
        <v>1099</v>
      </c>
      <c r="E768" s="6" t="s">
        <v>50</v>
      </c>
      <c r="F768" s="6" t="s">
        <v>1100</v>
      </c>
      <c r="G768" s="6" t="s">
        <v>17</v>
      </c>
      <c r="H768" s="6">
        <v>0</v>
      </c>
      <c r="I768" s="6" t="s">
        <v>1090</v>
      </c>
      <c r="J768" s="6">
        <v>2</v>
      </c>
      <c r="K768" s="7" t="str">
        <f t="shared" si="12"/>
        <v>G551</v>
      </c>
      <c r="L768" s="8"/>
      <c r="M768" s="9" t="str">
        <f t="shared" si="13"/>
        <v>MAT1556</v>
      </c>
      <c r="N768" s="9">
        <f t="shared" si="14"/>
        <v>7</v>
      </c>
      <c r="O768" s="9" t="str">
        <f t="shared" si="15"/>
        <v>P/1MAT1556</v>
      </c>
    </row>
    <row r="769" spans="1:15" ht="17.5" x14ac:dyDescent="0.55000000000000004">
      <c r="A769" s="13" t="s">
        <v>1088</v>
      </c>
      <c r="B769" s="11" t="s">
        <v>47</v>
      </c>
      <c r="C769" s="11" t="s">
        <v>281</v>
      </c>
      <c r="D769" s="13" t="s">
        <v>1091</v>
      </c>
      <c r="E769" s="11" t="s">
        <v>50</v>
      </c>
      <c r="F769" s="11" t="s">
        <v>1092</v>
      </c>
      <c r="G769" s="11" t="s">
        <v>1096</v>
      </c>
      <c r="H769" s="11">
        <v>26</v>
      </c>
      <c r="I769" s="11" t="s">
        <v>1090</v>
      </c>
      <c r="J769" s="11">
        <v>2</v>
      </c>
      <c r="K769" s="7" t="str">
        <f t="shared" si="12"/>
        <v>G551</v>
      </c>
      <c r="L769" s="8"/>
      <c r="M769" s="9" t="str">
        <f t="shared" si="13"/>
        <v>MAT1554</v>
      </c>
      <c r="N769" s="9">
        <f t="shared" si="14"/>
        <v>7</v>
      </c>
      <c r="O769" s="9" t="str">
        <f t="shared" si="15"/>
        <v>P/1MAT1554</v>
      </c>
    </row>
    <row r="770" spans="1:15" ht="17.5" x14ac:dyDescent="0.55000000000000004">
      <c r="A770" s="12" t="s">
        <v>1088</v>
      </c>
      <c r="B770" s="6" t="s">
        <v>47</v>
      </c>
      <c r="C770" s="6" t="s">
        <v>64</v>
      </c>
      <c r="D770" s="12" t="s">
        <v>1094</v>
      </c>
      <c r="E770" s="6" t="s">
        <v>50</v>
      </c>
      <c r="F770" s="6" t="s">
        <v>1095</v>
      </c>
      <c r="G770" s="6" t="s">
        <v>1101</v>
      </c>
      <c r="H770" s="6">
        <v>26</v>
      </c>
      <c r="I770" s="6" t="s">
        <v>1090</v>
      </c>
      <c r="J770" s="6">
        <v>2</v>
      </c>
      <c r="K770" s="7" t="str">
        <f t="shared" si="12"/>
        <v>G551</v>
      </c>
      <c r="L770" s="8"/>
      <c r="M770" s="9" t="str">
        <f t="shared" si="13"/>
        <v>MAT1542</v>
      </c>
      <c r="N770" s="9">
        <f t="shared" si="14"/>
        <v>7</v>
      </c>
      <c r="O770" s="9" t="str">
        <f t="shared" si="15"/>
        <v>P/1MAT1542</v>
      </c>
    </row>
    <row r="771" spans="1:15" ht="17.5" x14ac:dyDescent="0.55000000000000004">
      <c r="A771" s="13" t="s">
        <v>1088</v>
      </c>
      <c r="B771" s="11" t="s">
        <v>52</v>
      </c>
      <c r="C771" s="11" t="s">
        <v>1102</v>
      </c>
      <c r="D771" s="13" t="s">
        <v>1097</v>
      </c>
      <c r="E771" s="11" t="s">
        <v>50</v>
      </c>
      <c r="F771" s="11" t="s">
        <v>1098</v>
      </c>
      <c r="G771" s="11" t="s">
        <v>951</v>
      </c>
      <c r="H771" s="11">
        <v>45</v>
      </c>
      <c r="I771" s="11" t="s">
        <v>1090</v>
      </c>
      <c r="J771" s="11">
        <v>2</v>
      </c>
      <c r="K771" s="7" t="str">
        <f t="shared" si="12"/>
        <v>G551</v>
      </c>
      <c r="L771" s="8"/>
      <c r="M771" s="9" t="str">
        <f t="shared" si="13"/>
        <v>MAT1524</v>
      </c>
      <c r="N771" s="9">
        <f t="shared" si="14"/>
        <v>7</v>
      </c>
      <c r="O771" s="9" t="str">
        <f t="shared" si="15"/>
        <v>P/1MAT1524</v>
      </c>
    </row>
    <row r="772" spans="1:15" ht="17.5" x14ac:dyDescent="0.55000000000000004">
      <c r="A772" s="5" t="s">
        <v>1103</v>
      </c>
      <c r="B772" s="6" t="s">
        <v>13</v>
      </c>
      <c r="C772" s="6" t="s">
        <v>14</v>
      </c>
      <c r="D772" s="12" t="s">
        <v>1104</v>
      </c>
      <c r="E772" s="6" t="s">
        <v>16</v>
      </c>
      <c r="F772" s="6" t="s">
        <v>1105</v>
      </c>
      <c r="G772" s="6" t="s">
        <v>17</v>
      </c>
      <c r="H772" s="6">
        <v>0</v>
      </c>
      <c r="I772" s="6" t="s">
        <v>1106</v>
      </c>
      <c r="J772" s="6">
        <v>2</v>
      </c>
      <c r="K772" s="7" t="str">
        <f t="shared" si="12"/>
        <v>G651</v>
      </c>
      <c r="L772" s="8"/>
      <c r="M772" s="9" t="str">
        <f t="shared" si="13"/>
        <v>KOM1624</v>
      </c>
      <c r="N772" s="9">
        <f t="shared" si="14"/>
        <v>7</v>
      </c>
      <c r="O772" s="9" t="str">
        <f t="shared" si="15"/>
        <v>K/1KOM1624</v>
      </c>
    </row>
    <row r="773" spans="1:15" ht="17.5" x14ac:dyDescent="0.55000000000000004">
      <c r="A773" s="10" t="s">
        <v>1103</v>
      </c>
      <c r="B773" s="11" t="s">
        <v>13</v>
      </c>
      <c r="C773" s="11" t="s">
        <v>281</v>
      </c>
      <c r="D773" s="13" t="s">
        <v>1107</v>
      </c>
      <c r="E773" s="11" t="s">
        <v>16</v>
      </c>
      <c r="F773" s="11" t="s">
        <v>1108</v>
      </c>
      <c r="G773" s="11" t="s">
        <v>17</v>
      </c>
      <c r="H773" s="11">
        <v>0</v>
      </c>
      <c r="I773" s="11" t="s">
        <v>1106</v>
      </c>
      <c r="J773" s="11">
        <v>2</v>
      </c>
      <c r="K773" s="7" t="str">
        <f t="shared" si="12"/>
        <v>G651</v>
      </c>
      <c r="L773" s="8"/>
      <c r="M773" s="9" t="str">
        <f t="shared" si="13"/>
        <v>KOM1623</v>
      </c>
      <c r="N773" s="9">
        <f t="shared" si="14"/>
        <v>7</v>
      </c>
      <c r="O773" s="9" t="str">
        <f t="shared" si="15"/>
        <v>K/1KOM1623</v>
      </c>
    </row>
    <row r="774" spans="1:15" ht="17.5" x14ac:dyDescent="0.55000000000000004">
      <c r="A774" s="5" t="s">
        <v>1103</v>
      </c>
      <c r="B774" s="6" t="s">
        <v>13</v>
      </c>
      <c r="C774" s="6" t="s">
        <v>36</v>
      </c>
      <c r="D774" s="12" t="s">
        <v>1109</v>
      </c>
      <c r="E774" s="6" t="s">
        <v>16</v>
      </c>
      <c r="F774" s="6" t="s">
        <v>1110</v>
      </c>
      <c r="G774" s="6" t="s">
        <v>17</v>
      </c>
      <c r="H774" s="6">
        <v>0</v>
      </c>
      <c r="I774" s="6" t="s">
        <v>1106</v>
      </c>
      <c r="J774" s="6">
        <v>2</v>
      </c>
      <c r="K774" s="7" t="str">
        <f t="shared" si="12"/>
        <v>G651</v>
      </c>
      <c r="L774" s="8"/>
      <c r="M774" s="9" t="str">
        <f t="shared" si="13"/>
        <v>KOM1611</v>
      </c>
      <c r="N774" s="9">
        <f t="shared" si="14"/>
        <v>7</v>
      </c>
      <c r="O774" s="9" t="str">
        <f t="shared" si="15"/>
        <v>K/1KOM1611</v>
      </c>
    </row>
    <row r="775" spans="1:15" ht="17.5" x14ac:dyDescent="0.55000000000000004">
      <c r="A775" s="10" t="s">
        <v>1103</v>
      </c>
      <c r="B775" s="11" t="s">
        <v>13</v>
      </c>
      <c r="C775" s="11" t="s">
        <v>36</v>
      </c>
      <c r="D775" s="13" t="s">
        <v>1111</v>
      </c>
      <c r="E775" s="11" t="s">
        <v>16</v>
      </c>
      <c r="F775" s="11" t="s">
        <v>1112</v>
      </c>
      <c r="G775" s="11" t="s">
        <v>17</v>
      </c>
      <c r="H775" s="11">
        <v>0</v>
      </c>
      <c r="I775" s="11" t="s">
        <v>1106</v>
      </c>
      <c r="J775" s="11">
        <v>2</v>
      </c>
      <c r="K775" s="7" t="str">
        <f t="shared" si="12"/>
        <v>G651</v>
      </c>
      <c r="L775" s="8"/>
      <c r="M775" s="9" t="str">
        <f t="shared" si="13"/>
        <v>KOM1631</v>
      </c>
      <c r="N775" s="9">
        <f t="shared" si="14"/>
        <v>7</v>
      </c>
      <c r="O775" s="9" t="str">
        <f t="shared" si="15"/>
        <v>K/1KOM1631</v>
      </c>
    </row>
    <row r="776" spans="1:15" ht="17.5" x14ac:dyDescent="0.55000000000000004">
      <c r="A776" s="5" t="s">
        <v>1103</v>
      </c>
      <c r="B776" s="6" t="s">
        <v>31</v>
      </c>
      <c r="C776" s="6" t="s">
        <v>19</v>
      </c>
      <c r="D776" s="12" t="s">
        <v>1104</v>
      </c>
      <c r="E776" s="6" t="s">
        <v>50</v>
      </c>
      <c r="F776" s="6" t="s">
        <v>1105</v>
      </c>
      <c r="G776" s="6" t="s">
        <v>17</v>
      </c>
      <c r="H776" s="6">
        <v>0</v>
      </c>
      <c r="I776" s="6" t="s">
        <v>1106</v>
      </c>
      <c r="J776" s="6">
        <v>2</v>
      </c>
      <c r="K776" s="7" t="str">
        <f t="shared" si="12"/>
        <v>G651</v>
      </c>
      <c r="L776" s="8"/>
      <c r="M776" s="9" t="str">
        <f t="shared" si="13"/>
        <v>KOM1624</v>
      </c>
      <c r="N776" s="9">
        <f t="shared" si="14"/>
        <v>7</v>
      </c>
      <c r="O776" s="9" t="str">
        <f t="shared" si="15"/>
        <v>P/1KOM1624</v>
      </c>
    </row>
    <row r="777" spans="1:15" ht="17.5" x14ac:dyDescent="0.55000000000000004">
      <c r="A777" s="10" t="s">
        <v>1103</v>
      </c>
      <c r="B777" s="11" t="s">
        <v>31</v>
      </c>
      <c r="C777" s="11" t="s">
        <v>19</v>
      </c>
      <c r="D777" s="13" t="s">
        <v>1113</v>
      </c>
      <c r="E777" s="11" t="s">
        <v>16</v>
      </c>
      <c r="F777" s="11" t="s">
        <v>1112</v>
      </c>
      <c r="G777" s="11" t="s">
        <v>17</v>
      </c>
      <c r="H777" s="11">
        <v>0</v>
      </c>
      <c r="I777" s="11" t="s">
        <v>1106</v>
      </c>
      <c r="J777" s="11">
        <v>2</v>
      </c>
      <c r="K777" s="7" t="str">
        <f t="shared" si="12"/>
        <v>G651</v>
      </c>
      <c r="L777" s="8"/>
      <c r="M777" s="9" t="str">
        <f t="shared" si="13"/>
        <v>KOM1632</v>
      </c>
      <c r="N777" s="9">
        <f t="shared" si="14"/>
        <v>7</v>
      </c>
      <c r="O777" s="9" t="str">
        <f t="shared" si="15"/>
        <v>K/1KOM1632</v>
      </c>
    </row>
    <row r="778" spans="1:15" ht="17.5" x14ac:dyDescent="0.55000000000000004">
      <c r="A778" s="5" t="s">
        <v>1103</v>
      </c>
      <c r="B778" s="6" t="s">
        <v>31</v>
      </c>
      <c r="C778" s="6" t="s">
        <v>25</v>
      </c>
      <c r="D778" s="12" t="s">
        <v>1114</v>
      </c>
      <c r="E778" s="6" t="s">
        <v>16</v>
      </c>
      <c r="F778" s="6" t="s">
        <v>1115</v>
      </c>
      <c r="G778" s="6" t="s">
        <v>17</v>
      </c>
      <c r="H778" s="6">
        <v>0</v>
      </c>
      <c r="I778" s="6" t="s">
        <v>1106</v>
      </c>
      <c r="J778" s="6">
        <v>2</v>
      </c>
      <c r="K778" s="7" t="str">
        <f t="shared" si="12"/>
        <v>G651</v>
      </c>
      <c r="L778" s="8"/>
      <c r="M778" s="9" t="str">
        <f t="shared" si="13"/>
        <v>KOM1634</v>
      </c>
      <c r="N778" s="9">
        <f t="shared" si="14"/>
        <v>7</v>
      </c>
      <c r="O778" s="9" t="str">
        <f t="shared" si="15"/>
        <v>K/1KOM1634</v>
      </c>
    </row>
    <row r="779" spans="1:15" ht="17.5" x14ac:dyDescent="0.55000000000000004">
      <c r="A779" s="10" t="s">
        <v>1103</v>
      </c>
      <c r="B779" s="11" t="s">
        <v>31</v>
      </c>
      <c r="C779" s="11" t="s">
        <v>560</v>
      </c>
      <c r="D779" s="13" t="s">
        <v>1114</v>
      </c>
      <c r="E779" s="11" t="s">
        <v>50</v>
      </c>
      <c r="F779" s="11" t="s">
        <v>1115</v>
      </c>
      <c r="G779" s="11" t="s">
        <v>17</v>
      </c>
      <c r="H779" s="11">
        <v>0</v>
      </c>
      <c r="I779" s="11" t="s">
        <v>1106</v>
      </c>
      <c r="J779" s="11">
        <v>2</v>
      </c>
      <c r="K779" s="7" t="str">
        <f t="shared" si="12"/>
        <v>G651</v>
      </c>
      <c r="L779" s="8"/>
      <c r="M779" s="9" t="str">
        <f t="shared" si="13"/>
        <v>KOM1634</v>
      </c>
      <c r="N779" s="9">
        <f t="shared" si="14"/>
        <v>7</v>
      </c>
      <c r="O779" s="9" t="str">
        <f t="shared" si="15"/>
        <v>P/1KOM1634</v>
      </c>
    </row>
    <row r="780" spans="1:15" ht="17.5" x14ac:dyDescent="0.55000000000000004">
      <c r="A780" s="5" t="s">
        <v>1103</v>
      </c>
      <c r="B780" s="6" t="s">
        <v>41</v>
      </c>
      <c r="C780" s="6" t="s">
        <v>256</v>
      </c>
      <c r="D780" s="12" t="s">
        <v>1107</v>
      </c>
      <c r="E780" s="6" t="s">
        <v>50</v>
      </c>
      <c r="F780" s="6" t="s">
        <v>1108</v>
      </c>
      <c r="G780" s="6" t="s">
        <v>17</v>
      </c>
      <c r="H780" s="6">
        <v>0</v>
      </c>
      <c r="I780" s="6" t="s">
        <v>1106</v>
      </c>
      <c r="J780" s="6">
        <v>2</v>
      </c>
      <c r="K780" s="7" t="str">
        <f t="shared" si="12"/>
        <v>G651</v>
      </c>
      <c r="L780" s="8"/>
      <c r="M780" s="9" t="str">
        <f t="shared" si="13"/>
        <v>KOM1623</v>
      </c>
      <c r="N780" s="9">
        <f t="shared" si="14"/>
        <v>7</v>
      </c>
      <c r="O780" s="9" t="str">
        <f t="shared" si="15"/>
        <v>P/1KOM1623</v>
      </c>
    </row>
    <row r="781" spans="1:15" ht="17.5" x14ac:dyDescent="0.55000000000000004">
      <c r="A781" s="10" t="s">
        <v>1103</v>
      </c>
      <c r="B781" s="11" t="s">
        <v>41</v>
      </c>
      <c r="C781" s="11" t="s">
        <v>586</v>
      </c>
      <c r="D781" s="13" t="s">
        <v>1113</v>
      </c>
      <c r="E781" s="11" t="s">
        <v>50</v>
      </c>
      <c r="F781" s="11" t="s">
        <v>1112</v>
      </c>
      <c r="G781" s="11" t="s">
        <v>17</v>
      </c>
      <c r="H781" s="11">
        <v>0</v>
      </c>
      <c r="I781" s="11" t="s">
        <v>1106</v>
      </c>
      <c r="J781" s="11">
        <v>2</v>
      </c>
      <c r="K781" s="7" t="str">
        <f t="shared" si="12"/>
        <v>G651</v>
      </c>
      <c r="L781" s="8"/>
      <c r="M781" s="9" t="str">
        <f t="shared" si="13"/>
        <v>KOM1632</v>
      </c>
      <c r="N781" s="9">
        <f t="shared" si="14"/>
        <v>7</v>
      </c>
      <c r="O781" s="9" t="str">
        <f t="shared" si="15"/>
        <v>P/1KOM1632</v>
      </c>
    </row>
    <row r="782" spans="1:15" ht="17.5" x14ac:dyDescent="0.55000000000000004">
      <c r="A782" s="5" t="s">
        <v>1103</v>
      </c>
      <c r="B782" s="6" t="s">
        <v>47</v>
      </c>
      <c r="C782" s="6" t="s">
        <v>14</v>
      </c>
      <c r="D782" s="12" t="s">
        <v>1116</v>
      </c>
      <c r="E782" s="6" t="s">
        <v>16</v>
      </c>
      <c r="F782" s="6" t="s">
        <v>1117</v>
      </c>
      <c r="G782" s="6" t="s">
        <v>17</v>
      </c>
      <c r="H782" s="6">
        <v>0</v>
      </c>
      <c r="I782" s="6" t="s">
        <v>1106</v>
      </c>
      <c r="J782" s="6">
        <v>2</v>
      </c>
      <c r="K782" s="7" t="str">
        <f t="shared" si="12"/>
        <v>G651</v>
      </c>
      <c r="L782" s="8"/>
      <c r="M782" s="9" t="str">
        <f t="shared" si="13"/>
        <v>KOM1622</v>
      </c>
      <c r="N782" s="9">
        <f t="shared" si="14"/>
        <v>7</v>
      </c>
      <c r="O782" s="9" t="str">
        <f t="shared" si="15"/>
        <v>K/1KOM1622</v>
      </c>
    </row>
    <row r="783" spans="1:15" ht="17.5" x14ac:dyDescent="0.55000000000000004">
      <c r="A783" s="10" t="s">
        <v>1103</v>
      </c>
      <c r="B783" s="11" t="s">
        <v>47</v>
      </c>
      <c r="C783" s="11" t="s">
        <v>281</v>
      </c>
      <c r="D783" s="13" t="s">
        <v>1118</v>
      </c>
      <c r="E783" s="11" t="s">
        <v>16</v>
      </c>
      <c r="F783" s="11" t="s">
        <v>1119</v>
      </c>
      <c r="G783" s="11" t="s">
        <v>17</v>
      </c>
      <c r="H783" s="11">
        <v>0</v>
      </c>
      <c r="I783" s="11" t="s">
        <v>1106</v>
      </c>
      <c r="J783" s="11">
        <v>2</v>
      </c>
      <c r="K783" s="7" t="str">
        <f t="shared" si="12"/>
        <v>G651</v>
      </c>
      <c r="L783" s="8"/>
      <c r="M783" s="9" t="str">
        <f t="shared" si="13"/>
        <v>KOM1621</v>
      </c>
      <c r="N783" s="9">
        <f t="shared" si="14"/>
        <v>7</v>
      </c>
      <c r="O783" s="9" t="str">
        <f t="shared" si="15"/>
        <v>K/1KOM1621</v>
      </c>
    </row>
    <row r="784" spans="1:15" ht="17.5" x14ac:dyDescent="0.55000000000000004">
      <c r="A784" s="5" t="s">
        <v>1103</v>
      </c>
      <c r="B784" s="6" t="s">
        <v>47</v>
      </c>
      <c r="C784" s="6" t="s">
        <v>256</v>
      </c>
      <c r="D784" s="12" t="s">
        <v>1118</v>
      </c>
      <c r="E784" s="6" t="s">
        <v>50</v>
      </c>
      <c r="F784" s="6" t="s">
        <v>1119</v>
      </c>
      <c r="G784" s="6" t="s">
        <v>17</v>
      </c>
      <c r="H784" s="6">
        <v>0</v>
      </c>
      <c r="I784" s="6" t="s">
        <v>1106</v>
      </c>
      <c r="J784" s="6">
        <v>2</v>
      </c>
      <c r="K784" s="7" t="str">
        <f t="shared" si="12"/>
        <v>G651</v>
      </c>
      <c r="L784" s="8"/>
      <c r="M784" s="9" t="str">
        <f t="shared" si="13"/>
        <v>KOM1621</v>
      </c>
      <c r="N784" s="9">
        <f t="shared" si="14"/>
        <v>7</v>
      </c>
      <c r="O784" s="9" t="str">
        <f t="shared" si="15"/>
        <v>P/1KOM1621</v>
      </c>
    </row>
    <row r="785" spans="1:15" ht="17.5" x14ac:dyDescent="0.55000000000000004">
      <c r="A785" s="10" t="s">
        <v>1103</v>
      </c>
      <c r="B785" s="11" t="s">
        <v>47</v>
      </c>
      <c r="C785" s="11" t="s">
        <v>586</v>
      </c>
      <c r="D785" s="13" t="s">
        <v>1120</v>
      </c>
      <c r="E785" s="11" t="s">
        <v>50</v>
      </c>
      <c r="F785" s="11" t="s">
        <v>1121</v>
      </c>
      <c r="G785" s="11" t="s">
        <v>17</v>
      </c>
      <c r="H785" s="11">
        <v>0</v>
      </c>
      <c r="I785" s="11" t="s">
        <v>1106</v>
      </c>
      <c r="J785" s="11">
        <v>2</v>
      </c>
      <c r="K785" s="7" t="str">
        <f t="shared" si="12"/>
        <v>G651</v>
      </c>
      <c r="L785" s="8"/>
      <c r="M785" s="9" t="str">
        <f t="shared" si="13"/>
        <v>KOM1503</v>
      </c>
      <c r="N785" s="9">
        <f t="shared" si="14"/>
        <v>7</v>
      </c>
      <c r="O785" s="9" t="str">
        <f t="shared" si="15"/>
        <v>P/1KOM1503</v>
      </c>
    </row>
    <row r="786" spans="1:15" ht="17.5" x14ac:dyDescent="0.55000000000000004">
      <c r="A786" s="5" t="s">
        <v>1103</v>
      </c>
      <c r="B786" s="6" t="s">
        <v>52</v>
      </c>
      <c r="C786" s="6" t="s">
        <v>14</v>
      </c>
      <c r="D786" s="12" t="s">
        <v>1120</v>
      </c>
      <c r="E786" s="6" t="s">
        <v>16</v>
      </c>
      <c r="F786" s="6" t="s">
        <v>1121</v>
      </c>
      <c r="G786" s="6" t="s">
        <v>17</v>
      </c>
      <c r="H786" s="6">
        <v>0</v>
      </c>
      <c r="I786" s="6" t="s">
        <v>1106</v>
      </c>
      <c r="J786" s="6">
        <v>2</v>
      </c>
      <c r="K786" s="7" t="str">
        <f t="shared" si="12"/>
        <v>G651</v>
      </c>
      <c r="L786" s="8"/>
      <c r="M786" s="9" t="str">
        <f t="shared" si="13"/>
        <v>KOM1503</v>
      </c>
      <c r="N786" s="9">
        <f t="shared" si="14"/>
        <v>7</v>
      </c>
      <c r="O786" s="9" t="str">
        <f t="shared" si="15"/>
        <v>K/1KOM1503</v>
      </c>
    </row>
    <row r="787" spans="1:15" ht="17.5" x14ac:dyDescent="0.55000000000000004">
      <c r="A787" s="10" t="s">
        <v>1103</v>
      </c>
      <c r="B787" s="11" t="s">
        <v>52</v>
      </c>
      <c r="C787" s="11" t="s">
        <v>36</v>
      </c>
      <c r="D787" s="13" t="s">
        <v>1116</v>
      </c>
      <c r="E787" s="11" t="s">
        <v>50</v>
      </c>
      <c r="F787" s="11" t="s">
        <v>1117</v>
      </c>
      <c r="G787" s="11" t="s">
        <v>17</v>
      </c>
      <c r="H787" s="11">
        <v>0</v>
      </c>
      <c r="I787" s="11" t="s">
        <v>1106</v>
      </c>
      <c r="J787" s="11">
        <v>2</v>
      </c>
      <c r="K787" s="7" t="str">
        <f t="shared" si="12"/>
        <v>G651</v>
      </c>
      <c r="L787" s="8"/>
      <c r="M787" s="9" t="str">
        <f t="shared" si="13"/>
        <v>KOM1622</v>
      </c>
      <c r="N787" s="9">
        <f t="shared" si="14"/>
        <v>7</v>
      </c>
      <c r="O787" s="9" t="str">
        <f t="shared" si="15"/>
        <v>P/1KOM1622</v>
      </c>
    </row>
    <row r="788" spans="1:15" ht="17.5" x14ac:dyDescent="0.55000000000000004">
      <c r="A788" s="5" t="s">
        <v>1103</v>
      </c>
      <c r="B788" s="6" t="s">
        <v>52</v>
      </c>
      <c r="C788" s="6" t="s">
        <v>1122</v>
      </c>
      <c r="D788" s="12" t="s">
        <v>1114</v>
      </c>
      <c r="E788" s="6" t="s">
        <v>155</v>
      </c>
      <c r="F788" s="6" t="s">
        <v>1115</v>
      </c>
      <c r="G788" s="6" t="s">
        <v>17</v>
      </c>
      <c r="H788" s="6">
        <v>0</v>
      </c>
      <c r="I788" s="6" t="s">
        <v>1106</v>
      </c>
      <c r="J788" s="6">
        <v>2</v>
      </c>
      <c r="K788" s="7" t="str">
        <f t="shared" si="12"/>
        <v>G651</v>
      </c>
      <c r="L788" s="8"/>
      <c r="M788" s="9" t="str">
        <f t="shared" si="13"/>
        <v>KOM1634</v>
      </c>
      <c r="N788" s="9">
        <f t="shared" si="14"/>
        <v>7</v>
      </c>
      <c r="O788" s="9" t="str">
        <f t="shared" si="15"/>
        <v>K/2KOM1634</v>
      </c>
    </row>
    <row r="789" spans="1:15" ht="17.5" x14ac:dyDescent="0.55000000000000004">
      <c r="A789" s="10" t="s">
        <v>1103</v>
      </c>
      <c r="B789" s="11" t="s">
        <v>52</v>
      </c>
      <c r="C789" s="11" t="s">
        <v>1123</v>
      </c>
      <c r="D789" s="13" t="s">
        <v>1114</v>
      </c>
      <c r="E789" s="11" t="s">
        <v>144</v>
      </c>
      <c r="F789" s="11" t="s">
        <v>1115</v>
      </c>
      <c r="G789" s="11" t="s">
        <v>17</v>
      </c>
      <c r="H789" s="11">
        <v>0</v>
      </c>
      <c r="I789" s="11" t="s">
        <v>1106</v>
      </c>
      <c r="J789" s="11">
        <v>2</v>
      </c>
      <c r="K789" s="7" t="str">
        <f t="shared" si="12"/>
        <v>G651</v>
      </c>
      <c r="L789" s="8"/>
      <c r="M789" s="9" t="str">
        <f t="shared" si="13"/>
        <v>KOM1634</v>
      </c>
      <c r="N789" s="9">
        <f t="shared" si="14"/>
        <v>7</v>
      </c>
      <c r="O789" s="9" t="str">
        <f t="shared" si="15"/>
        <v>P/2KOM1634</v>
      </c>
    </row>
    <row r="790" spans="1:15" ht="17.5" x14ac:dyDescent="0.55000000000000004">
      <c r="A790" s="5" t="s">
        <v>1103</v>
      </c>
      <c r="B790" s="6" t="s">
        <v>195</v>
      </c>
      <c r="C790" s="6" t="s">
        <v>1124</v>
      </c>
      <c r="D790" s="12" t="s">
        <v>1120</v>
      </c>
      <c r="E790" s="6" t="s">
        <v>144</v>
      </c>
      <c r="F790" s="6" t="s">
        <v>1121</v>
      </c>
      <c r="G790" s="6" t="s">
        <v>17</v>
      </c>
      <c r="H790" s="6">
        <v>0</v>
      </c>
      <c r="I790" s="6" t="s">
        <v>1106</v>
      </c>
      <c r="J790" s="6">
        <v>2</v>
      </c>
      <c r="K790" s="7" t="str">
        <f t="shared" si="12"/>
        <v>G651</v>
      </c>
      <c r="L790" s="8"/>
      <c r="M790" s="9" t="str">
        <f t="shared" si="13"/>
        <v>KOM1503</v>
      </c>
      <c r="N790" s="9">
        <f t="shared" si="14"/>
        <v>7</v>
      </c>
      <c r="O790" s="9" t="str">
        <f t="shared" si="15"/>
        <v>P/2KOM1503</v>
      </c>
    </row>
    <row r="791" spans="1:15" ht="17.5" x14ac:dyDescent="0.55000000000000004">
      <c r="A791" s="13" t="s">
        <v>1125</v>
      </c>
      <c r="B791" s="11" t="s">
        <v>13</v>
      </c>
      <c r="C791" s="11" t="s">
        <v>261</v>
      </c>
      <c r="D791" s="10" t="s">
        <v>1126</v>
      </c>
      <c r="E791" s="11" t="s">
        <v>16</v>
      </c>
      <c r="F791" s="11" t="s">
        <v>1127</v>
      </c>
      <c r="G791" s="11" t="s">
        <v>17</v>
      </c>
      <c r="H791" s="11">
        <v>0</v>
      </c>
      <c r="I791" s="11" t="s">
        <v>1128</v>
      </c>
      <c r="J791" s="11">
        <v>1</v>
      </c>
      <c r="K791" s="7" t="str">
        <f t="shared" si="12"/>
        <v>G751</v>
      </c>
      <c r="L791" s="8"/>
      <c r="M791" s="9" t="str">
        <f t="shared" si="13"/>
        <v>BFS150A</v>
      </c>
      <c r="N791" s="9">
        <f t="shared" si="14"/>
        <v>7</v>
      </c>
      <c r="O791" s="9" t="str">
        <f t="shared" si="15"/>
        <v>K/1BFS150A</v>
      </c>
    </row>
    <row r="792" spans="1:15" ht="17.5" x14ac:dyDescent="0.55000000000000004">
      <c r="A792" s="12" t="s">
        <v>1125</v>
      </c>
      <c r="B792" s="6" t="s">
        <v>13</v>
      </c>
      <c r="C792" s="6" t="s">
        <v>139</v>
      </c>
      <c r="D792" s="5" t="s">
        <v>1129</v>
      </c>
      <c r="E792" s="6" t="s">
        <v>50</v>
      </c>
      <c r="F792" s="6" t="s">
        <v>1130</v>
      </c>
      <c r="G792" s="6" t="s">
        <v>17</v>
      </c>
      <c r="H792" s="6">
        <v>0</v>
      </c>
      <c r="I792" s="6" t="s">
        <v>1128</v>
      </c>
      <c r="J792" s="6">
        <v>1</v>
      </c>
      <c r="K792" s="7" t="str">
        <f t="shared" si="12"/>
        <v>G751</v>
      </c>
      <c r="L792" s="8"/>
      <c r="M792" s="9" t="str">
        <f t="shared" si="13"/>
        <v>BFS1501</v>
      </c>
      <c r="N792" s="9">
        <f t="shared" si="14"/>
        <v>7</v>
      </c>
      <c r="O792" s="9" t="str">
        <f t="shared" si="15"/>
        <v>P/1BFS1501</v>
      </c>
    </row>
    <row r="793" spans="1:15" ht="17.5" x14ac:dyDescent="0.55000000000000004">
      <c r="A793" s="13" t="s">
        <v>1125</v>
      </c>
      <c r="B793" s="11" t="s">
        <v>13</v>
      </c>
      <c r="C793" s="11" t="s">
        <v>271</v>
      </c>
      <c r="D793" s="10" t="s">
        <v>1126</v>
      </c>
      <c r="E793" s="11" t="s">
        <v>50</v>
      </c>
      <c r="F793" s="11" t="s">
        <v>1127</v>
      </c>
      <c r="G793" s="11" t="s">
        <v>17</v>
      </c>
      <c r="H793" s="11">
        <v>0</v>
      </c>
      <c r="I793" s="11" t="s">
        <v>1128</v>
      </c>
      <c r="J793" s="11">
        <v>1</v>
      </c>
      <c r="K793" s="7" t="str">
        <f t="shared" si="12"/>
        <v>G751</v>
      </c>
      <c r="L793" s="8"/>
      <c r="M793" s="9" t="str">
        <f t="shared" si="13"/>
        <v>BFS150A</v>
      </c>
      <c r="N793" s="9">
        <f t="shared" si="14"/>
        <v>7</v>
      </c>
      <c r="O793" s="9" t="str">
        <f t="shared" si="15"/>
        <v>P/1BFS150A</v>
      </c>
    </row>
    <row r="794" spans="1:15" ht="17.5" x14ac:dyDescent="0.55000000000000004">
      <c r="A794" s="12" t="s">
        <v>1125</v>
      </c>
      <c r="B794" s="6" t="s">
        <v>13</v>
      </c>
      <c r="C794" s="6" t="s">
        <v>25</v>
      </c>
      <c r="D794" s="5" t="s">
        <v>1131</v>
      </c>
      <c r="E794" s="6" t="s">
        <v>16</v>
      </c>
      <c r="F794" s="6" t="s">
        <v>1132</v>
      </c>
      <c r="G794" s="6" t="s">
        <v>17</v>
      </c>
      <c r="H794" s="6">
        <v>0</v>
      </c>
      <c r="I794" s="6" t="s">
        <v>1128</v>
      </c>
      <c r="J794" s="6">
        <v>2</v>
      </c>
      <c r="K794" s="7" t="str">
        <f t="shared" si="12"/>
        <v>G751</v>
      </c>
      <c r="L794" s="8"/>
      <c r="M794" s="9" t="str">
        <f t="shared" si="13"/>
        <v>BFS1506</v>
      </c>
      <c r="N794" s="9">
        <f t="shared" si="14"/>
        <v>7</v>
      </c>
      <c r="O794" s="9" t="str">
        <f t="shared" si="15"/>
        <v>K/1BFS1506</v>
      </c>
    </row>
    <row r="795" spans="1:15" ht="17.5" x14ac:dyDescent="0.55000000000000004">
      <c r="A795" s="13" t="s">
        <v>1125</v>
      </c>
      <c r="B795" s="11" t="s">
        <v>13</v>
      </c>
      <c r="C795" s="11" t="s">
        <v>64</v>
      </c>
      <c r="D795" s="10" t="s">
        <v>1133</v>
      </c>
      <c r="E795" s="11" t="s">
        <v>16</v>
      </c>
      <c r="F795" s="11" t="s">
        <v>1134</v>
      </c>
      <c r="G795" s="11" t="s">
        <v>17</v>
      </c>
      <c r="H795" s="11">
        <v>0</v>
      </c>
      <c r="I795" s="11" t="s">
        <v>1128</v>
      </c>
      <c r="J795" s="11">
        <v>2</v>
      </c>
      <c r="K795" s="7" t="str">
        <f t="shared" si="12"/>
        <v>G751</v>
      </c>
      <c r="L795" s="8"/>
      <c r="M795" s="9" t="str">
        <f t="shared" si="13"/>
        <v>BFS1507</v>
      </c>
      <c r="N795" s="9">
        <f t="shared" si="14"/>
        <v>7</v>
      </c>
      <c r="O795" s="9" t="str">
        <f t="shared" si="15"/>
        <v>K/1BFS1507</v>
      </c>
    </row>
    <row r="796" spans="1:15" ht="17.5" x14ac:dyDescent="0.55000000000000004">
      <c r="A796" s="12" t="s">
        <v>1125</v>
      </c>
      <c r="B796" s="6" t="s">
        <v>13</v>
      </c>
      <c r="C796" s="6" t="s">
        <v>101</v>
      </c>
      <c r="D796" s="5" t="s">
        <v>1135</v>
      </c>
      <c r="E796" s="6" t="s">
        <v>16</v>
      </c>
      <c r="F796" s="6" t="s">
        <v>1136</v>
      </c>
      <c r="G796" s="6" t="s">
        <v>17</v>
      </c>
      <c r="H796" s="6">
        <v>0</v>
      </c>
      <c r="I796" s="6" t="s">
        <v>1128</v>
      </c>
      <c r="J796" s="6">
        <v>1</v>
      </c>
      <c r="K796" s="7" t="str">
        <f t="shared" si="12"/>
        <v>G751</v>
      </c>
      <c r="L796" s="8"/>
      <c r="M796" s="9" t="str">
        <f t="shared" si="13"/>
        <v>BFS1502</v>
      </c>
      <c r="N796" s="9">
        <f t="shared" si="14"/>
        <v>7</v>
      </c>
      <c r="O796" s="9" t="str">
        <f t="shared" si="15"/>
        <v>K/1BFS1502</v>
      </c>
    </row>
    <row r="797" spans="1:15" ht="17.5" x14ac:dyDescent="0.55000000000000004">
      <c r="A797" s="13" t="s">
        <v>1125</v>
      </c>
      <c r="B797" s="11" t="s">
        <v>31</v>
      </c>
      <c r="C797" s="11" t="s">
        <v>14</v>
      </c>
      <c r="D797" s="10" t="s">
        <v>1137</v>
      </c>
      <c r="E797" s="11" t="s">
        <v>16</v>
      </c>
      <c r="F797" s="11" t="s">
        <v>1138</v>
      </c>
      <c r="G797" s="11" t="s">
        <v>17</v>
      </c>
      <c r="H797" s="11">
        <v>0</v>
      </c>
      <c r="I797" s="11" t="s">
        <v>1128</v>
      </c>
      <c r="J797" s="11">
        <v>1</v>
      </c>
      <c r="K797" s="7" t="str">
        <f t="shared" si="12"/>
        <v>G751</v>
      </c>
      <c r="L797" s="8"/>
      <c r="M797" s="9" t="str">
        <f t="shared" si="13"/>
        <v>BFS1503</v>
      </c>
      <c r="N797" s="9">
        <f t="shared" si="14"/>
        <v>7</v>
      </c>
      <c r="O797" s="9" t="str">
        <f t="shared" si="15"/>
        <v>K/1BFS1503</v>
      </c>
    </row>
    <row r="798" spans="1:15" ht="17.5" x14ac:dyDescent="0.55000000000000004">
      <c r="A798" s="12" t="s">
        <v>1125</v>
      </c>
      <c r="B798" s="6" t="s">
        <v>31</v>
      </c>
      <c r="C798" s="6" t="s">
        <v>25</v>
      </c>
      <c r="D798" s="5" t="s">
        <v>1139</v>
      </c>
      <c r="E798" s="6" t="s">
        <v>16</v>
      </c>
      <c r="F798" s="6" t="s">
        <v>1140</v>
      </c>
      <c r="G798" s="6" t="s">
        <v>17</v>
      </c>
      <c r="H798" s="6">
        <v>0</v>
      </c>
      <c r="I798" s="6" t="s">
        <v>1128</v>
      </c>
      <c r="J798" s="6">
        <v>1</v>
      </c>
      <c r="K798" s="7" t="str">
        <f t="shared" si="12"/>
        <v>G751</v>
      </c>
      <c r="L798" s="8"/>
      <c r="M798" s="9" t="str">
        <f t="shared" si="13"/>
        <v>BFS1504</v>
      </c>
      <c r="N798" s="9">
        <f t="shared" si="14"/>
        <v>7</v>
      </c>
      <c r="O798" s="9" t="str">
        <f t="shared" si="15"/>
        <v>K/1BFS1504</v>
      </c>
    </row>
    <row r="799" spans="1:15" ht="17.5" x14ac:dyDescent="0.55000000000000004">
      <c r="A799" s="13" t="s">
        <v>1125</v>
      </c>
      <c r="B799" s="11" t="s">
        <v>31</v>
      </c>
      <c r="C799" s="11" t="s">
        <v>64</v>
      </c>
      <c r="D799" s="10" t="s">
        <v>1141</v>
      </c>
      <c r="E799" s="11" t="s">
        <v>16</v>
      </c>
      <c r="F799" s="11" t="s">
        <v>1142</v>
      </c>
      <c r="G799" s="11" t="s">
        <v>17</v>
      </c>
      <c r="H799" s="11">
        <v>0</v>
      </c>
      <c r="I799" s="11" t="s">
        <v>1128</v>
      </c>
      <c r="J799" s="11">
        <v>1</v>
      </c>
      <c r="K799" s="7" t="str">
        <f t="shared" si="12"/>
        <v>G751</v>
      </c>
      <c r="L799" s="8"/>
      <c r="M799" s="9" t="str">
        <f t="shared" si="13"/>
        <v>BFS150D</v>
      </c>
      <c r="N799" s="9">
        <f t="shared" si="14"/>
        <v>7</v>
      </c>
      <c r="O799" s="9" t="str">
        <f t="shared" si="15"/>
        <v>K/1BFS150D</v>
      </c>
    </row>
    <row r="800" spans="1:15" ht="17.5" x14ac:dyDescent="0.55000000000000004">
      <c r="A800" s="12" t="s">
        <v>1125</v>
      </c>
      <c r="B800" s="6" t="s">
        <v>41</v>
      </c>
      <c r="C800" s="6" t="s">
        <v>64</v>
      </c>
      <c r="D800" s="5" t="s">
        <v>1143</v>
      </c>
      <c r="E800" s="6" t="s">
        <v>16</v>
      </c>
      <c r="F800" s="6" t="s">
        <v>1144</v>
      </c>
      <c r="G800" s="6" t="s">
        <v>17</v>
      </c>
      <c r="H800" s="6">
        <v>0</v>
      </c>
      <c r="I800" s="6" t="s">
        <v>1128</v>
      </c>
      <c r="J800" s="6">
        <v>1</v>
      </c>
      <c r="K800" s="7" t="str">
        <f t="shared" si="12"/>
        <v>G751</v>
      </c>
      <c r="L800" s="8"/>
      <c r="M800" s="9" t="str">
        <f t="shared" si="13"/>
        <v>BFS150I</v>
      </c>
      <c r="N800" s="9">
        <f t="shared" si="14"/>
        <v>7</v>
      </c>
      <c r="O800" s="9" t="str">
        <f t="shared" si="15"/>
        <v>K/1BFS150I</v>
      </c>
    </row>
    <row r="801" spans="1:15" ht="17.5" x14ac:dyDescent="0.55000000000000004">
      <c r="A801" s="13" t="s">
        <v>1125</v>
      </c>
      <c r="B801" s="11" t="s">
        <v>41</v>
      </c>
      <c r="C801" s="11" t="s">
        <v>101</v>
      </c>
      <c r="D801" s="10" t="s">
        <v>1145</v>
      </c>
      <c r="E801" s="11" t="s">
        <v>16</v>
      </c>
      <c r="F801" s="11" t="s">
        <v>1140</v>
      </c>
      <c r="G801" s="11" t="s">
        <v>17</v>
      </c>
      <c r="H801" s="11">
        <v>0</v>
      </c>
      <c r="I801" s="11" t="s">
        <v>1128</v>
      </c>
      <c r="J801" s="11">
        <v>1</v>
      </c>
      <c r="K801" s="7" t="str">
        <f t="shared" si="12"/>
        <v>G751</v>
      </c>
      <c r="L801" s="8"/>
      <c r="M801" s="9" t="str">
        <f t="shared" si="13"/>
        <v>BFS150B</v>
      </c>
      <c r="N801" s="9">
        <f t="shared" si="14"/>
        <v>7</v>
      </c>
      <c r="O801" s="9" t="str">
        <f t="shared" si="15"/>
        <v>K/1BFS150B</v>
      </c>
    </row>
    <row r="802" spans="1:15" ht="17.5" x14ac:dyDescent="0.55000000000000004">
      <c r="A802" s="12" t="s">
        <v>1125</v>
      </c>
      <c r="B802" s="6" t="s">
        <v>41</v>
      </c>
      <c r="C802" s="6" t="s">
        <v>101</v>
      </c>
      <c r="D802" s="5" t="s">
        <v>1146</v>
      </c>
      <c r="E802" s="6" t="s">
        <v>16</v>
      </c>
      <c r="F802" s="6" t="s">
        <v>1147</v>
      </c>
      <c r="G802" s="6" t="s">
        <v>17</v>
      </c>
      <c r="H802" s="6"/>
      <c r="I802" s="6" t="s">
        <v>1128</v>
      </c>
      <c r="J802" s="6">
        <v>1</v>
      </c>
      <c r="K802" s="7" t="str">
        <f t="shared" si="12"/>
        <v>G751</v>
      </c>
      <c r="L802" s="8"/>
      <c r="M802" s="9" t="str">
        <f t="shared" si="13"/>
        <v>BFS150G</v>
      </c>
      <c r="N802" s="9">
        <f t="shared" si="14"/>
        <v>7</v>
      </c>
      <c r="O802" s="9" t="str">
        <f t="shared" si="15"/>
        <v>K/1BFS150G</v>
      </c>
    </row>
    <row r="803" spans="1:15" ht="17.5" x14ac:dyDescent="0.55000000000000004">
      <c r="A803" s="13" t="s">
        <v>1125</v>
      </c>
      <c r="B803" s="11" t="s">
        <v>47</v>
      </c>
      <c r="C803" s="11" t="s">
        <v>14</v>
      </c>
      <c r="D803" s="10" t="s">
        <v>1129</v>
      </c>
      <c r="E803" s="11" t="s">
        <v>16</v>
      </c>
      <c r="F803" s="11" t="s">
        <v>1130</v>
      </c>
      <c r="G803" s="11" t="s">
        <v>17</v>
      </c>
      <c r="H803" s="11">
        <v>0</v>
      </c>
      <c r="I803" s="11" t="s">
        <v>1128</v>
      </c>
      <c r="J803" s="11">
        <v>1</v>
      </c>
      <c r="K803" s="7" t="str">
        <f t="shared" si="12"/>
        <v>G751</v>
      </c>
      <c r="L803" s="8"/>
      <c r="M803" s="9" t="str">
        <f t="shared" si="13"/>
        <v>BFS1501</v>
      </c>
      <c r="N803" s="9">
        <f t="shared" si="14"/>
        <v>7</v>
      </c>
      <c r="O803" s="9" t="str">
        <f t="shared" si="15"/>
        <v>K/1BFS1501</v>
      </c>
    </row>
    <row r="804" spans="1:15" ht="17.5" x14ac:dyDescent="0.55000000000000004">
      <c r="A804" s="12" t="s">
        <v>1125</v>
      </c>
      <c r="B804" s="6" t="s">
        <v>47</v>
      </c>
      <c r="C804" s="6" t="s">
        <v>64</v>
      </c>
      <c r="D804" s="5" t="s">
        <v>1148</v>
      </c>
      <c r="E804" s="6" t="s">
        <v>16</v>
      </c>
      <c r="F804" s="6" t="s">
        <v>1130</v>
      </c>
      <c r="G804" s="6" t="s">
        <v>17</v>
      </c>
      <c r="H804" s="6"/>
      <c r="I804" s="6" t="s">
        <v>1128</v>
      </c>
      <c r="J804" s="6">
        <v>2</v>
      </c>
      <c r="K804" s="7" t="str">
        <f t="shared" si="12"/>
        <v>G751</v>
      </c>
      <c r="L804" s="8"/>
      <c r="M804" s="9" t="str">
        <f t="shared" si="13"/>
        <v>BFS1505</v>
      </c>
      <c r="N804" s="9">
        <f t="shared" si="14"/>
        <v>7</v>
      </c>
      <c r="O804" s="9" t="str">
        <f t="shared" si="15"/>
        <v>K/1BFS1505</v>
      </c>
    </row>
    <row r="805" spans="1:15" ht="17.5" x14ac:dyDescent="0.55000000000000004">
      <c r="A805" s="13" t="s">
        <v>1149</v>
      </c>
      <c r="B805" s="11" t="s">
        <v>13</v>
      </c>
      <c r="C805" s="11" t="s">
        <v>239</v>
      </c>
      <c r="D805" s="10" t="s">
        <v>1150</v>
      </c>
      <c r="E805" s="11" t="s">
        <v>50</v>
      </c>
      <c r="F805" s="11" t="s">
        <v>1151</v>
      </c>
      <c r="G805" s="11" t="s">
        <v>17</v>
      </c>
      <c r="H805" s="11">
        <v>0</v>
      </c>
      <c r="I805" s="11" t="s">
        <v>1152</v>
      </c>
      <c r="J805" s="11">
        <v>4</v>
      </c>
      <c r="K805" s="7" t="str">
        <f t="shared" si="12"/>
        <v>G851</v>
      </c>
      <c r="L805" s="8"/>
      <c r="M805" s="9" t="str">
        <f t="shared" si="13"/>
        <v>BIK1694</v>
      </c>
      <c r="N805" s="9">
        <f t="shared" si="14"/>
        <v>7</v>
      </c>
      <c r="O805" s="9" t="str">
        <f t="shared" si="15"/>
        <v>P/1BIK1694</v>
      </c>
    </row>
    <row r="806" spans="1:15" ht="17.5" x14ac:dyDescent="0.55000000000000004">
      <c r="A806" s="12" t="s">
        <v>1149</v>
      </c>
      <c r="B806" s="6" t="s">
        <v>13</v>
      </c>
      <c r="C806" s="6" t="s">
        <v>14</v>
      </c>
      <c r="D806" s="5" t="s">
        <v>1153</v>
      </c>
      <c r="E806" s="6" t="s">
        <v>16</v>
      </c>
      <c r="F806" s="6" t="s">
        <v>1154</v>
      </c>
      <c r="G806" s="6" t="s">
        <v>1155</v>
      </c>
      <c r="H806" s="6">
        <v>90</v>
      </c>
      <c r="I806" s="6" t="s">
        <v>1152</v>
      </c>
      <c r="J806" s="6">
        <v>2</v>
      </c>
      <c r="K806" s="7" t="str">
        <f t="shared" si="12"/>
        <v>G851</v>
      </c>
      <c r="L806" s="8"/>
      <c r="M806" s="9" t="str">
        <f t="shared" si="13"/>
        <v>BIK1505</v>
      </c>
      <c r="N806" s="9">
        <f t="shared" si="14"/>
        <v>7</v>
      </c>
      <c r="O806" s="9" t="str">
        <f t="shared" si="15"/>
        <v>K/1BIK1505</v>
      </c>
    </row>
    <row r="807" spans="1:15" ht="17.5" x14ac:dyDescent="0.55000000000000004">
      <c r="A807" s="13" t="s">
        <v>1149</v>
      </c>
      <c r="B807" s="11" t="s">
        <v>13</v>
      </c>
      <c r="C807" s="11" t="s">
        <v>36</v>
      </c>
      <c r="D807" s="10" t="s">
        <v>1156</v>
      </c>
      <c r="E807" s="11" t="s">
        <v>16</v>
      </c>
      <c r="F807" s="11" t="s">
        <v>1157</v>
      </c>
      <c r="G807" s="11" t="s">
        <v>1155</v>
      </c>
      <c r="H807" s="11">
        <v>90</v>
      </c>
      <c r="I807" s="11" t="s">
        <v>1152</v>
      </c>
      <c r="J807" s="11">
        <v>2</v>
      </c>
      <c r="K807" s="7" t="str">
        <f t="shared" si="12"/>
        <v>G851</v>
      </c>
      <c r="L807" s="8"/>
      <c r="M807" s="9" t="str">
        <f t="shared" si="13"/>
        <v>BIK1526</v>
      </c>
      <c r="N807" s="9">
        <f t="shared" si="14"/>
        <v>7</v>
      </c>
      <c r="O807" s="9" t="str">
        <f t="shared" si="15"/>
        <v>K/1BIK1526</v>
      </c>
    </row>
    <row r="808" spans="1:15" ht="17.5" x14ac:dyDescent="0.55000000000000004">
      <c r="A808" s="12" t="s">
        <v>1149</v>
      </c>
      <c r="B808" s="6" t="s">
        <v>31</v>
      </c>
      <c r="C808" s="6" t="s">
        <v>239</v>
      </c>
      <c r="D808" s="5" t="s">
        <v>1158</v>
      </c>
      <c r="E808" s="6" t="s">
        <v>50</v>
      </c>
      <c r="F808" s="6" t="s">
        <v>1151</v>
      </c>
      <c r="G808" s="6" t="s">
        <v>17</v>
      </c>
      <c r="H808" s="6">
        <v>0</v>
      </c>
      <c r="I808" s="6" t="s">
        <v>1152</v>
      </c>
      <c r="J808" s="6">
        <v>4</v>
      </c>
      <c r="K808" s="7" t="str">
        <f t="shared" si="12"/>
        <v>G851</v>
      </c>
      <c r="L808" s="8"/>
      <c r="M808" s="9" t="str">
        <f t="shared" si="13"/>
        <v>BIK695B</v>
      </c>
      <c r="N808" s="9">
        <f t="shared" si="14"/>
        <v>7</v>
      </c>
      <c r="O808" s="9" t="str">
        <f t="shared" si="15"/>
        <v>P/1BIK695B</v>
      </c>
    </row>
    <row r="809" spans="1:15" ht="17.5" x14ac:dyDescent="0.55000000000000004">
      <c r="A809" s="13" t="s">
        <v>1149</v>
      </c>
      <c r="B809" s="11" t="s">
        <v>31</v>
      </c>
      <c r="C809" s="11" t="s">
        <v>261</v>
      </c>
      <c r="D809" s="10" t="s">
        <v>1159</v>
      </c>
      <c r="E809" s="11" t="s">
        <v>16</v>
      </c>
      <c r="F809" s="11" t="s">
        <v>1160</v>
      </c>
      <c r="G809" s="11" t="s">
        <v>1155</v>
      </c>
      <c r="H809" s="11">
        <v>90</v>
      </c>
      <c r="I809" s="11" t="s">
        <v>1152</v>
      </c>
      <c r="J809" s="11">
        <v>2</v>
      </c>
      <c r="K809" s="7" t="str">
        <f t="shared" si="12"/>
        <v>G851</v>
      </c>
      <c r="L809" s="8"/>
      <c r="M809" s="9" t="str">
        <f t="shared" si="13"/>
        <v>BIK1506</v>
      </c>
      <c r="N809" s="9">
        <f t="shared" si="14"/>
        <v>7</v>
      </c>
      <c r="O809" s="9" t="str">
        <f t="shared" si="15"/>
        <v>K/1BIK1506</v>
      </c>
    </row>
    <row r="810" spans="1:15" ht="17.5" x14ac:dyDescent="0.55000000000000004">
      <c r="A810" s="12" t="s">
        <v>1149</v>
      </c>
      <c r="B810" s="6" t="s">
        <v>31</v>
      </c>
      <c r="C810" s="6" t="s">
        <v>147</v>
      </c>
      <c r="D810" s="5" t="s">
        <v>1159</v>
      </c>
      <c r="E810" s="6" t="s">
        <v>50</v>
      </c>
      <c r="F810" s="6" t="s">
        <v>1160</v>
      </c>
      <c r="G810" s="6" t="s">
        <v>1161</v>
      </c>
      <c r="H810" s="6">
        <v>20</v>
      </c>
      <c r="I810" s="6" t="s">
        <v>1152</v>
      </c>
      <c r="J810" s="6">
        <v>2</v>
      </c>
      <c r="K810" s="7" t="str">
        <f t="shared" si="12"/>
        <v>G851</v>
      </c>
      <c r="L810" s="8"/>
      <c r="M810" s="9" t="str">
        <f t="shared" si="13"/>
        <v>BIK1506</v>
      </c>
      <c r="N810" s="9">
        <f t="shared" si="14"/>
        <v>7</v>
      </c>
      <c r="O810" s="9" t="str">
        <f t="shared" si="15"/>
        <v>P/1BIK1506</v>
      </c>
    </row>
    <row r="811" spans="1:15" ht="17.5" x14ac:dyDescent="0.55000000000000004">
      <c r="A811" s="13" t="s">
        <v>1149</v>
      </c>
      <c r="B811" s="11" t="s">
        <v>31</v>
      </c>
      <c r="C811" s="11" t="s">
        <v>28</v>
      </c>
      <c r="D811" s="10" t="s">
        <v>1162</v>
      </c>
      <c r="E811" s="11" t="s">
        <v>16</v>
      </c>
      <c r="F811" s="11" t="s">
        <v>1163</v>
      </c>
      <c r="G811" s="11" t="s">
        <v>1155</v>
      </c>
      <c r="H811" s="11">
        <v>90</v>
      </c>
      <c r="I811" s="11" t="s">
        <v>1152</v>
      </c>
      <c r="J811" s="11">
        <v>2</v>
      </c>
      <c r="K811" s="7" t="str">
        <f t="shared" si="12"/>
        <v>G851</v>
      </c>
      <c r="L811" s="8"/>
      <c r="M811" s="9" t="str">
        <f t="shared" si="13"/>
        <v>BIK1532</v>
      </c>
      <c r="N811" s="9">
        <f t="shared" si="14"/>
        <v>7</v>
      </c>
      <c r="O811" s="9" t="str">
        <f t="shared" si="15"/>
        <v>K/1BIK1532</v>
      </c>
    </row>
    <row r="812" spans="1:15" ht="17.5" x14ac:dyDescent="0.55000000000000004">
      <c r="A812" s="12" t="s">
        <v>1149</v>
      </c>
      <c r="B812" s="6" t="s">
        <v>41</v>
      </c>
      <c r="C812" s="6" t="s">
        <v>132</v>
      </c>
      <c r="D812" s="5" t="s">
        <v>1164</v>
      </c>
      <c r="E812" s="6" t="s">
        <v>50</v>
      </c>
      <c r="F812" s="6" t="s">
        <v>1165</v>
      </c>
      <c r="G812" s="6" t="s">
        <v>17</v>
      </c>
      <c r="H812" s="6">
        <v>0</v>
      </c>
      <c r="I812" s="6" t="s">
        <v>1152</v>
      </c>
      <c r="J812" s="6">
        <v>4</v>
      </c>
      <c r="K812" s="7" t="str">
        <f t="shared" si="12"/>
        <v>G851</v>
      </c>
      <c r="L812" s="8"/>
      <c r="M812" s="9" t="str">
        <f t="shared" si="13"/>
        <v>BIK1695</v>
      </c>
      <c r="N812" s="9">
        <f t="shared" si="14"/>
        <v>7</v>
      </c>
      <c r="O812" s="9" t="str">
        <f t="shared" si="15"/>
        <v>P/1BIK1695</v>
      </c>
    </row>
    <row r="813" spans="1:15" ht="17.5" x14ac:dyDescent="0.55000000000000004">
      <c r="A813" s="13" t="s">
        <v>1149</v>
      </c>
      <c r="B813" s="11" t="s">
        <v>47</v>
      </c>
      <c r="C813" s="11" t="s">
        <v>821</v>
      </c>
      <c r="D813" s="10" t="s">
        <v>1166</v>
      </c>
      <c r="E813" s="11" t="s">
        <v>16</v>
      </c>
      <c r="F813" s="11" t="s">
        <v>1167</v>
      </c>
      <c r="G813" s="11" t="s">
        <v>1155</v>
      </c>
      <c r="H813" s="11">
        <v>90</v>
      </c>
      <c r="I813" s="11" t="s">
        <v>1152</v>
      </c>
      <c r="J813" s="11">
        <v>2</v>
      </c>
      <c r="K813" s="7" t="str">
        <f t="shared" si="12"/>
        <v>G851</v>
      </c>
      <c r="L813" s="8"/>
      <c r="M813" s="9" t="str">
        <f t="shared" si="13"/>
        <v>BIK1612</v>
      </c>
      <c r="N813" s="9">
        <f t="shared" si="14"/>
        <v>7</v>
      </c>
      <c r="O813" s="9" t="str">
        <f t="shared" si="15"/>
        <v>K/1BIK1612</v>
      </c>
    </row>
    <row r="814" spans="1:15" ht="17.5" x14ac:dyDescent="0.55000000000000004">
      <c r="A814" s="12" t="s">
        <v>1149</v>
      </c>
      <c r="B814" s="6" t="s">
        <v>47</v>
      </c>
      <c r="C814" s="6" t="s">
        <v>261</v>
      </c>
      <c r="D814" s="5" t="s">
        <v>1168</v>
      </c>
      <c r="E814" s="6" t="s">
        <v>16</v>
      </c>
      <c r="F814" s="6" t="s">
        <v>1169</v>
      </c>
      <c r="G814" s="6" t="s">
        <v>1170</v>
      </c>
      <c r="H814" s="6">
        <v>90</v>
      </c>
      <c r="I814" s="6" t="s">
        <v>1152</v>
      </c>
      <c r="J814" s="6">
        <v>2</v>
      </c>
      <c r="K814" s="7" t="str">
        <f t="shared" si="12"/>
        <v>G851</v>
      </c>
      <c r="L814" s="8"/>
      <c r="M814" s="9" t="str">
        <f t="shared" si="13"/>
        <v>BIK1502</v>
      </c>
      <c r="N814" s="9">
        <f t="shared" si="14"/>
        <v>7</v>
      </c>
      <c r="O814" s="9" t="str">
        <f t="shared" si="15"/>
        <v>K/1BIK1502</v>
      </c>
    </row>
    <row r="815" spans="1:15" ht="17.5" x14ac:dyDescent="0.55000000000000004">
      <c r="A815" s="13" t="s">
        <v>1149</v>
      </c>
      <c r="B815" s="11" t="s">
        <v>47</v>
      </c>
      <c r="C815" s="11" t="s">
        <v>1171</v>
      </c>
      <c r="D815" s="10" t="s">
        <v>1168</v>
      </c>
      <c r="E815" s="11" t="s">
        <v>50</v>
      </c>
      <c r="F815" s="11" t="s">
        <v>1169</v>
      </c>
      <c r="G815" s="11" t="s">
        <v>1172</v>
      </c>
      <c r="H815" s="11">
        <v>20</v>
      </c>
      <c r="I815" s="11" t="s">
        <v>1152</v>
      </c>
      <c r="J815" s="11">
        <v>2</v>
      </c>
      <c r="K815" s="7" t="str">
        <f t="shared" si="12"/>
        <v>G851</v>
      </c>
      <c r="L815" s="8"/>
      <c r="M815" s="9" t="str">
        <f t="shared" si="13"/>
        <v>BIK1502</v>
      </c>
      <c r="N815" s="9">
        <f t="shared" si="14"/>
        <v>7</v>
      </c>
      <c r="O815" s="9" t="str">
        <f t="shared" si="15"/>
        <v>P/1BIK1502</v>
      </c>
    </row>
    <row r="816" spans="1:15" ht="17.5" x14ac:dyDescent="0.55000000000000004">
      <c r="A816" s="12" t="s">
        <v>1149</v>
      </c>
      <c r="B816" s="6" t="s">
        <v>52</v>
      </c>
      <c r="C816" s="6" t="s">
        <v>53</v>
      </c>
      <c r="D816" s="5" t="s">
        <v>1173</v>
      </c>
      <c r="E816" s="6" t="s">
        <v>16</v>
      </c>
      <c r="F816" s="6" t="s">
        <v>1174</v>
      </c>
      <c r="G816" s="6" t="s">
        <v>1155</v>
      </c>
      <c r="H816" s="6">
        <v>90</v>
      </c>
      <c r="I816" s="6" t="s">
        <v>1152</v>
      </c>
      <c r="J816" s="6">
        <v>2</v>
      </c>
      <c r="K816" s="7" t="str">
        <f t="shared" si="12"/>
        <v>G851</v>
      </c>
      <c r="L816" s="8"/>
      <c r="M816" s="9" t="str">
        <f t="shared" si="13"/>
        <v>BIK1524</v>
      </c>
      <c r="N816" s="9">
        <f t="shared" si="14"/>
        <v>7</v>
      </c>
      <c r="O816" s="9" t="str">
        <f t="shared" si="15"/>
        <v>K/1BIK1524</v>
      </c>
    </row>
    <row r="817" spans="1:15" ht="17.5" x14ac:dyDescent="0.55000000000000004">
      <c r="A817" s="13" t="s">
        <v>1149</v>
      </c>
      <c r="B817" s="11" t="s">
        <v>52</v>
      </c>
      <c r="C817" s="11" t="s">
        <v>1175</v>
      </c>
      <c r="D817" s="10" t="s">
        <v>1176</v>
      </c>
      <c r="E817" s="11" t="s">
        <v>16</v>
      </c>
      <c r="F817" s="11" t="s">
        <v>1167</v>
      </c>
      <c r="G817" s="11" t="s">
        <v>1172</v>
      </c>
      <c r="H817" s="11">
        <v>20</v>
      </c>
      <c r="I817" s="11" t="s">
        <v>1152</v>
      </c>
      <c r="J817" s="11">
        <v>2</v>
      </c>
      <c r="K817" s="7" t="str">
        <f t="shared" si="12"/>
        <v>G851</v>
      </c>
      <c r="L817" s="8"/>
      <c r="M817" s="9" t="str">
        <f t="shared" si="13"/>
        <v>BIK1512</v>
      </c>
      <c r="N817" s="9">
        <f t="shared" si="14"/>
        <v>7</v>
      </c>
      <c r="O817" s="9" t="str">
        <f t="shared" si="15"/>
        <v>K/1BIK1512</v>
      </c>
    </row>
    <row r="818" spans="1:15" ht="17.5" x14ac:dyDescent="0.55000000000000004">
      <c r="A818" s="12" t="s">
        <v>1149</v>
      </c>
      <c r="B818" s="6" t="s">
        <v>52</v>
      </c>
      <c r="C818" s="6" t="s">
        <v>260</v>
      </c>
      <c r="D818" s="5" t="s">
        <v>1177</v>
      </c>
      <c r="E818" s="6" t="s">
        <v>16</v>
      </c>
      <c r="F818" s="6" t="s">
        <v>1178</v>
      </c>
      <c r="G818" s="6" t="s">
        <v>1172</v>
      </c>
      <c r="H818" s="6">
        <v>20</v>
      </c>
      <c r="I818" s="6" t="s">
        <v>1152</v>
      </c>
      <c r="J818" s="6">
        <v>2</v>
      </c>
      <c r="K818" s="7" t="str">
        <f t="shared" si="12"/>
        <v>G851</v>
      </c>
      <c r="L818" s="8"/>
      <c r="M818" s="9" t="str">
        <f t="shared" si="13"/>
        <v>BIK1522</v>
      </c>
      <c r="N818" s="9">
        <f t="shared" si="14"/>
        <v>7</v>
      </c>
      <c r="O818" s="9" t="str">
        <f t="shared" si="15"/>
        <v>K/1BIK1522</v>
      </c>
    </row>
    <row r="819" spans="1:15" ht="17.5" x14ac:dyDescent="0.55000000000000004">
      <c r="A819" s="10" t="s">
        <v>1179</v>
      </c>
      <c r="B819" s="11" t="s">
        <v>13</v>
      </c>
      <c r="C819" s="11" t="s">
        <v>14</v>
      </c>
      <c r="D819" s="13" t="s">
        <v>1180</v>
      </c>
      <c r="E819" s="11" t="s">
        <v>16</v>
      </c>
      <c r="F819" s="11" t="s">
        <v>79</v>
      </c>
      <c r="G819" s="11" t="s">
        <v>17</v>
      </c>
      <c r="H819" s="11">
        <v>0</v>
      </c>
      <c r="I819" s="11" t="s">
        <v>1181</v>
      </c>
      <c r="J819" s="11">
        <v>2</v>
      </c>
      <c r="K819" s="7" t="str">
        <f t="shared" si="12"/>
        <v>H051</v>
      </c>
      <c r="L819" s="8"/>
      <c r="M819" s="9" t="str">
        <f t="shared" si="13"/>
        <v>PWD1511</v>
      </c>
      <c r="N819" s="9">
        <f t="shared" si="14"/>
        <v>7</v>
      </c>
      <c r="O819" s="9" t="str">
        <f t="shared" si="15"/>
        <v>K/1PWD1511</v>
      </c>
    </row>
    <row r="820" spans="1:15" ht="17.5" x14ac:dyDescent="0.55000000000000004">
      <c r="A820" s="5" t="s">
        <v>1179</v>
      </c>
      <c r="B820" s="6" t="s">
        <v>41</v>
      </c>
      <c r="C820" s="6" t="s">
        <v>53</v>
      </c>
      <c r="D820" s="12" t="s">
        <v>1182</v>
      </c>
      <c r="E820" s="6" t="s">
        <v>16</v>
      </c>
      <c r="F820" s="6" t="s">
        <v>1183</v>
      </c>
      <c r="G820" s="6" t="s">
        <v>17</v>
      </c>
      <c r="H820" s="6">
        <v>0</v>
      </c>
      <c r="I820" s="6" t="s">
        <v>1181</v>
      </c>
      <c r="J820" s="6">
        <v>2</v>
      </c>
      <c r="K820" s="7" t="str">
        <f t="shared" si="12"/>
        <v>H051</v>
      </c>
      <c r="L820" s="8"/>
      <c r="M820" s="9" t="str">
        <f t="shared" si="13"/>
        <v>PWD1500</v>
      </c>
      <c r="N820" s="9">
        <f t="shared" si="14"/>
        <v>7</v>
      </c>
      <c r="O820" s="9" t="str">
        <f t="shared" si="15"/>
        <v>K/1PWD1500</v>
      </c>
    </row>
    <row r="821" spans="1:15" ht="17.5" x14ac:dyDescent="0.55000000000000004">
      <c r="A821" s="10" t="s">
        <v>1179</v>
      </c>
      <c r="B821" s="11" t="s">
        <v>47</v>
      </c>
      <c r="C821" s="11" t="s">
        <v>36</v>
      </c>
      <c r="D821" s="13" t="s">
        <v>1184</v>
      </c>
      <c r="E821" s="11" t="s">
        <v>16</v>
      </c>
      <c r="F821" s="11" t="s">
        <v>1185</v>
      </c>
      <c r="G821" s="11" t="s">
        <v>17</v>
      </c>
      <c r="H821" s="11">
        <v>0</v>
      </c>
      <c r="I821" s="11" t="s">
        <v>1186</v>
      </c>
      <c r="J821" s="11">
        <v>2</v>
      </c>
      <c r="K821" s="7" t="str">
        <f t="shared" si="12"/>
        <v>H051</v>
      </c>
      <c r="L821" s="8"/>
      <c r="M821" s="9" t="str">
        <f t="shared" si="13"/>
        <v>ESL1683</v>
      </c>
      <c r="N821" s="9">
        <f t="shared" si="14"/>
        <v>7</v>
      </c>
      <c r="O821" s="9" t="str">
        <f t="shared" si="15"/>
        <v>K/1ESL1683</v>
      </c>
    </row>
    <row r="822" spans="1:15" ht="17.5" x14ac:dyDescent="0.55000000000000004">
      <c r="A822" s="5" t="s">
        <v>1187</v>
      </c>
      <c r="B822" s="6" t="s">
        <v>31</v>
      </c>
      <c r="C822" s="6" t="s">
        <v>1188</v>
      </c>
      <c r="D822" s="12" t="s">
        <v>1189</v>
      </c>
      <c r="E822" s="6" t="s">
        <v>16</v>
      </c>
      <c r="F822" s="6" t="s">
        <v>1190</v>
      </c>
      <c r="G822" s="6" t="s">
        <v>17</v>
      </c>
      <c r="H822" s="6">
        <v>0</v>
      </c>
      <c r="I822" s="6" t="s">
        <v>1191</v>
      </c>
      <c r="J822" s="6">
        <v>2</v>
      </c>
      <c r="K822" s="7" t="str">
        <f t="shared" si="12"/>
        <v>H052</v>
      </c>
      <c r="L822" s="8"/>
      <c r="M822" s="9" t="str">
        <f t="shared" si="13"/>
        <v>MPD1507</v>
      </c>
      <c r="N822" s="9">
        <f t="shared" si="14"/>
        <v>7</v>
      </c>
      <c r="O822" s="9" t="str">
        <f t="shared" si="15"/>
        <v>K/1MPD1507</v>
      </c>
    </row>
    <row r="823" spans="1:15" ht="17.5" x14ac:dyDescent="0.55000000000000004">
      <c r="A823" s="10" t="s">
        <v>1187</v>
      </c>
      <c r="B823" s="11" t="s">
        <v>41</v>
      </c>
      <c r="C823" s="11" t="s">
        <v>19</v>
      </c>
      <c r="D823" s="13" t="s">
        <v>1192</v>
      </c>
      <c r="E823" s="11" t="s">
        <v>16</v>
      </c>
      <c r="F823" s="11" t="s">
        <v>1193</v>
      </c>
      <c r="G823" s="11" t="s">
        <v>17</v>
      </c>
      <c r="H823" s="11">
        <v>0</v>
      </c>
      <c r="I823" s="11" t="s">
        <v>1191</v>
      </c>
      <c r="J823" s="11">
        <v>2</v>
      </c>
      <c r="K823" s="7" t="str">
        <f t="shared" si="12"/>
        <v>H052</v>
      </c>
      <c r="L823" s="8"/>
      <c r="M823" s="9" t="str">
        <f t="shared" si="13"/>
        <v>MPD1603</v>
      </c>
      <c r="N823" s="9">
        <f t="shared" si="14"/>
        <v>7</v>
      </c>
      <c r="O823" s="9" t="str">
        <f t="shared" si="15"/>
        <v>K/1MPD1603</v>
      </c>
    </row>
    <row r="824" spans="1:15" ht="17.5" x14ac:dyDescent="0.55000000000000004">
      <c r="A824" s="5" t="s">
        <v>1187</v>
      </c>
      <c r="B824" s="6" t="s">
        <v>41</v>
      </c>
      <c r="C824" s="6" t="s">
        <v>256</v>
      </c>
      <c r="D824" s="12" t="s">
        <v>1194</v>
      </c>
      <c r="E824" s="6" t="s">
        <v>16</v>
      </c>
      <c r="F824" s="6" t="s">
        <v>1195</v>
      </c>
      <c r="G824" s="6" t="s">
        <v>17</v>
      </c>
      <c r="H824" s="6">
        <v>0</v>
      </c>
      <c r="I824" s="6" t="s">
        <v>1191</v>
      </c>
      <c r="J824" s="6">
        <v>2</v>
      </c>
      <c r="K824" s="7" t="str">
        <f t="shared" si="12"/>
        <v>H052</v>
      </c>
      <c r="L824" s="8"/>
      <c r="M824" s="9" t="str">
        <f t="shared" si="13"/>
        <v>MPD1508</v>
      </c>
      <c r="N824" s="9">
        <f t="shared" si="14"/>
        <v>7</v>
      </c>
      <c r="O824" s="9" t="str">
        <f t="shared" si="15"/>
        <v>K/1MPD1508</v>
      </c>
    </row>
    <row r="825" spans="1:15" ht="17.5" x14ac:dyDescent="0.55000000000000004">
      <c r="A825" s="10" t="s">
        <v>1187</v>
      </c>
      <c r="B825" s="11" t="s">
        <v>47</v>
      </c>
      <c r="C825" s="11" t="s">
        <v>19</v>
      </c>
      <c r="D825" s="13" t="s">
        <v>1196</v>
      </c>
      <c r="E825" s="11" t="s">
        <v>16</v>
      </c>
      <c r="F825" s="11" t="s">
        <v>1193</v>
      </c>
      <c r="G825" s="11" t="s">
        <v>17</v>
      </c>
      <c r="H825" s="11">
        <v>0</v>
      </c>
      <c r="I825" s="11" t="s">
        <v>1191</v>
      </c>
      <c r="J825" s="11">
        <v>2</v>
      </c>
      <c r="K825" s="7" t="str">
        <f t="shared" si="12"/>
        <v>H052</v>
      </c>
      <c r="L825" s="8"/>
      <c r="M825" s="9" t="str">
        <f t="shared" si="13"/>
        <v>MPD1602</v>
      </c>
      <c r="N825" s="9">
        <f t="shared" si="14"/>
        <v>7</v>
      </c>
      <c r="O825" s="9" t="str">
        <f t="shared" si="15"/>
        <v>K/1MPD1602</v>
      </c>
    </row>
    <row r="826" spans="1:15" ht="17.5" x14ac:dyDescent="0.55000000000000004">
      <c r="A826" s="5" t="s">
        <v>1187</v>
      </c>
      <c r="B826" s="6" t="s">
        <v>52</v>
      </c>
      <c r="C826" s="6" t="s">
        <v>1188</v>
      </c>
      <c r="D826" s="12" t="s">
        <v>1197</v>
      </c>
      <c r="E826" s="6" t="s">
        <v>16</v>
      </c>
      <c r="F826" s="6" t="s">
        <v>1195</v>
      </c>
      <c r="G826" s="6" t="s">
        <v>17</v>
      </c>
      <c r="H826" s="6">
        <v>0</v>
      </c>
      <c r="I826" s="6" t="s">
        <v>1191</v>
      </c>
      <c r="J826" s="6">
        <v>2</v>
      </c>
      <c r="K826" s="7" t="str">
        <f t="shared" si="12"/>
        <v>H052</v>
      </c>
      <c r="L826" s="8"/>
      <c r="M826" s="9" t="str">
        <f t="shared" si="13"/>
        <v>MPD160A</v>
      </c>
      <c r="N826" s="9">
        <f t="shared" si="14"/>
        <v>7</v>
      </c>
      <c r="O826" s="9" t="str">
        <f t="shared" si="15"/>
        <v>K/1MPD160A</v>
      </c>
    </row>
    <row r="827" spans="1:15" ht="17.5" x14ac:dyDescent="0.55000000000000004">
      <c r="A827" s="10" t="s">
        <v>1187</v>
      </c>
      <c r="B827" s="11" t="s">
        <v>52</v>
      </c>
      <c r="C827" s="11" t="s">
        <v>206</v>
      </c>
      <c r="D827" s="13" t="s">
        <v>1194</v>
      </c>
      <c r="E827" s="11" t="s">
        <v>155</v>
      </c>
      <c r="F827" s="11" t="s">
        <v>1195</v>
      </c>
      <c r="G827" s="11" t="s">
        <v>17</v>
      </c>
      <c r="H827" s="11">
        <v>0</v>
      </c>
      <c r="I827" s="11" t="s">
        <v>1191</v>
      </c>
      <c r="J827" s="11">
        <v>2</v>
      </c>
      <c r="K827" s="7" t="str">
        <f t="shared" si="12"/>
        <v>H052</v>
      </c>
      <c r="L827" s="8"/>
      <c r="M827" s="9" t="str">
        <f t="shared" si="13"/>
        <v>MPD1508</v>
      </c>
      <c r="N827" s="9">
        <f t="shared" si="14"/>
        <v>7</v>
      </c>
      <c r="O827" s="9" t="str">
        <f t="shared" si="15"/>
        <v>K/2MPD1508</v>
      </c>
    </row>
    <row r="828" spans="1:15" ht="17.5" x14ac:dyDescent="0.55000000000000004">
      <c r="A828" s="5" t="s">
        <v>1187</v>
      </c>
      <c r="B828" s="6" t="s">
        <v>195</v>
      </c>
      <c r="C828" s="6" t="s">
        <v>19</v>
      </c>
      <c r="D828" s="12" t="s">
        <v>1197</v>
      </c>
      <c r="E828" s="6" t="s">
        <v>155</v>
      </c>
      <c r="F828" s="6" t="s">
        <v>1195</v>
      </c>
      <c r="G828" s="6" t="s">
        <v>17</v>
      </c>
      <c r="H828" s="6">
        <v>0</v>
      </c>
      <c r="I828" s="6" t="s">
        <v>1191</v>
      </c>
      <c r="J828" s="6">
        <v>2</v>
      </c>
      <c r="K828" s="7" t="str">
        <f t="shared" si="12"/>
        <v>H052</v>
      </c>
      <c r="L828" s="8"/>
      <c r="M828" s="9" t="str">
        <f t="shared" si="13"/>
        <v>MPD160A</v>
      </c>
      <c r="N828" s="9">
        <f t="shared" si="14"/>
        <v>7</v>
      </c>
      <c r="O828" s="9" t="str">
        <f t="shared" si="15"/>
        <v>K/2MPD160A</v>
      </c>
    </row>
    <row r="829" spans="1:15" ht="17.5" x14ac:dyDescent="0.55000000000000004">
      <c r="A829" s="10" t="s">
        <v>1187</v>
      </c>
      <c r="B829" s="11" t="s">
        <v>195</v>
      </c>
      <c r="C829" s="11" t="s">
        <v>978</v>
      </c>
      <c r="D829" s="13" t="s">
        <v>1189</v>
      </c>
      <c r="E829" s="11" t="s">
        <v>155</v>
      </c>
      <c r="F829" s="11" t="s">
        <v>1190</v>
      </c>
      <c r="G829" s="11" t="s">
        <v>17</v>
      </c>
      <c r="H829" s="11">
        <v>0</v>
      </c>
      <c r="I829" s="11" t="s">
        <v>1191</v>
      </c>
      <c r="J829" s="11">
        <v>2</v>
      </c>
      <c r="K829" s="7" t="str">
        <f t="shared" si="12"/>
        <v>H052</v>
      </c>
      <c r="L829" s="8"/>
      <c r="M829" s="9" t="str">
        <f t="shared" si="13"/>
        <v>MPD1507</v>
      </c>
      <c r="N829" s="9">
        <f t="shared" si="14"/>
        <v>7</v>
      </c>
      <c r="O829" s="9" t="str">
        <f t="shared" si="15"/>
        <v>K/2MPD1507</v>
      </c>
    </row>
    <row r="830" spans="1:15" ht="17.5" x14ac:dyDescent="0.55000000000000004">
      <c r="A830" s="5" t="s">
        <v>1187</v>
      </c>
      <c r="B830" s="6" t="s">
        <v>195</v>
      </c>
      <c r="C830" s="6" t="s">
        <v>290</v>
      </c>
      <c r="D830" s="12" t="s">
        <v>1192</v>
      </c>
      <c r="E830" s="6" t="s">
        <v>155</v>
      </c>
      <c r="F830" s="6" t="s">
        <v>1193</v>
      </c>
      <c r="G830" s="6" t="s">
        <v>17</v>
      </c>
      <c r="H830" s="6">
        <v>0</v>
      </c>
      <c r="I830" s="6" t="s">
        <v>1191</v>
      </c>
      <c r="J830" s="6">
        <v>2</v>
      </c>
      <c r="K830" s="7" t="str">
        <f t="shared" si="12"/>
        <v>H052</v>
      </c>
      <c r="L830" s="8"/>
      <c r="M830" s="9" t="str">
        <f t="shared" si="13"/>
        <v>MPD1603</v>
      </c>
      <c r="N830" s="9">
        <f t="shared" si="14"/>
        <v>7</v>
      </c>
      <c r="O830" s="9" t="str">
        <f t="shared" si="15"/>
        <v>K/2MPD1603</v>
      </c>
    </row>
    <row r="831" spans="1:15" ht="17.5" x14ac:dyDescent="0.55000000000000004">
      <c r="A831" s="10" t="s">
        <v>1187</v>
      </c>
      <c r="B831" s="11" t="s">
        <v>195</v>
      </c>
      <c r="C831" s="11" t="s">
        <v>1198</v>
      </c>
      <c r="D831" s="13" t="s">
        <v>1196</v>
      </c>
      <c r="E831" s="11" t="s">
        <v>155</v>
      </c>
      <c r="F831" s="11" t="s">
        <v>1193</v>
      </c>
      <c r="G831" s="11" t="s">
        <v>17</v>
      </c>
      <c r="H831" s="11">
        <v>0</v>
      </c>
      <c r="I831" s="11" t="s">
        <v>1191</v>
      </c>
      <c r="J831" s="11">
        <v>2</v>
      </c>
      <c r="K831" s="7" t="str">
        <f t="shared" si="12"/>
        <v>H052</v>
      </c>
      <c r="L831" s="8"/>
      <c r="M831" s="9" t="str">
        <f t="shared" si="13"/>
        <v>MPD1602</v>
      </c>
      <c r="N831" s="9">
        <f t="shared" si="14"/>
        <v>7</v>
      </c>
      <c r="O831" s="9" t="str">
        <f t="shared" si="15"/>
        <v>K/2MPD1602</v>
      </c>
    </row>
    <row r="832" spans="1:15" ht="17.5" x14ac:dyDescent="0.55000000000000004">
      <c r="A832" s="5" t="s">
        <v>1199</v>
      </c>
      <c r="B832" s="6" t="s">
        <v>31</v>
      </c>
      <c r="C832" s="6" t="s">
        <v>281</v>
      </c>
      <c r="D832" s="12" t="s">
        <v>1200</v>
      </c>
      <c r="E832" s="6" t="s">
        <v>16</v>
      </c>
      <c r="F832" s="6" t="s">
        <v>1201</v>
      </c>
      <c r="G832" s="6" t="s">
        <v>17</v>
      </c>
      <c r="H832" s="6">
        <v>0</v>
      </c>
      <c r="I832" s="6" t="s">
        <v>1202</v>
      </c>
      <c r="J832" s="6">
        <v>2</v>
      </c>
      <c r="K832" s="7" t="str">
        <f t="shared" si="12"/>
        <v>H151</v>
      </c>
      <c r="L832" s="8"/>
      <c r="M832" s="9" t="str">
        <f t="shared" si="13"/>
        <v>EKO1603</v>
      </c>
      <c r="N832" s="9">
        <f t="shared" si="14"/>
        <v>7</v>
      </c>
      <c r="O832" s="9" t="str">
        <f t="shared" si="15"/>
        <v>K/1EKO1603</v>
      </c>
    </row>
    <row r="833" spans="1:15" ht="17.5" x14ac:dyDescent="0.55000000000000004">
      <c r="A833" s="10" t="s">
        <v>1199</v>
      </c>
      <c r="B833" s="11" t="s">
        <v>31</v>
      </c>
      <c r="C833" s="11" t="s">
        <v>290</v>
      </c>
      <c r="D833" s="13" t="s">
        <v>1203</v>
      </c>
      <c r="E833" s="11" t="s">
        <v>16</v>
      </c>
      <c r="F833" s="11" t="s">
        <v>1204</v>
      </c>
      <c r="G833" s="11" t="s">
        <v>17</v>
      </c>
      <c r="H833" s="11">
        <v>0</v>
      </c>
      <c r="I833" s="11" t="s">
        <v>1202</v>
      </c>
      <c r="J833" s="11">
        <v>2</v>
      </c>
      <c r="K833" s="7" t="str">
        <f t="shared" si="12"/>
        <v>H151</v>
      </c>
      <c r="L833" s="8"/>
      <c r="M833" s="9" t="str">
        <f t="shared" si="13"/>
        <v>EKO1506</v>
      </c>
      <c r="N833" s="9">
        <f t="shared" si="14"/>
        <v>7</v>
      </c>
      <c r="O833" s="9" t="str">
        <f t="shared" si="15"/>
        <v>K/1EKO1506</v>
      </c>
    </row>
    <row r="834" spans="1:15" ht="17.5" x14ac:dyDescent="0.55000000000000004">
      <c r="A834" s="5" t="s">
        <v>1199</v>
      </c>
      <c r="B834" s="6" t="s">
        <v>41</v>
      </c>
      <c r="C834" s="6" t="s">
        <v>19</v>
      </c>
      <c r="D834" s="12" t="s">
        <v>1205</v>
      </c>
      <c r="E834" s="6" t="s">
        <v>16</v>
      </c>
      <c r="F834" s="6" t="s">
        <v>1206</v>
      </c>
      <c r="G834" s="6" t="s">
        <v>17</v>
      </c>
      <c r="H834" s="6">
        <v>0</v>
      </c>
      <c r="I834" s="6" t="s">
        <v>1202</v>
      </c>
      <c r="J834" s="6">
        <v>2</v>
      </c>
      <c r="K834" s="7" t="str">
        <f t="shared" si="12"/>
        <v>H151</v>
      </c>
      <c r="L834" s="8"/>
      <c r="M834" s="9" t="str">
        <f t="shared" si="13"/>
        <v>EKO1505</v>
      </c>
      <c r="N834" s="9">
        <f t="shared" si="14"/>
        <v>7</v>
      </c>
      <c r="O834" s="9" t="str">
        <f t="shared" si="15"/>
        <v>K/1EKO1505</v>
      </c>
    </row>
    <row r="835" spans="1:15" ht="17.5" x14ac:dyDescent="0.55000000000000004">
      <c r="A835" s="10" t="s">
        <v>1199</v>
      </c>
      <c r="B835" s="11" t="s">
        <v>41</v>
      </c>
      <c r="C835" s="11" t="s">
        <v>256</v>
      </c>
      <c r="D835" s="13" t="s">
        <v>1207</v>
      </c>
      <c r="E835" s="11" t="s">
        <v>16</v>
      </c>
      <c r="F835" s="11" t="s">
        <v>1183</v>
      </c>
      <c r="G835" s="11" t="s">
        <v>17</v>
      </c>
      <c r="H835" s="11">
        <v>0</v>
      </c>
      <c r="I835" s="11" t="s">
        <v>1202</v>
      </c>
      <c r="J835" s="11">
        <v>2</v>
      </c>
      <c r="K835" s="7" t="str">
        <f t="shared" si="12"/>
        <v>H151</v>
      </c>
      <c r="L835" s="8"/>
      <c r="M835" s="9" t="str">
        <f t="shared" si="13"/>
        <v>EKO1605</v>
      </c>
      <c r="N835" s="9">
        <f t="shared" si="14"/>
        <v>7</v>
      </c>
      <c r="O835" s="9" t="str">
        <f t="shared" si="15"/>
        <v>K/1EKO1605</v>
      </c>
    </row>
    <row r="836" spans="1:15" ht="17.5" x14ac:dyDescent="0.55000000000000004">
      <c r="A836" s="5" t="s">
        <v>1208</v>
      </c>
      <c r="B836" s="5" t="s">
        <v>13</v>
      </c>
      <c r="C836" s="5" t="s">
        <v>14</v>
      </c>
      <c r="D836" s="5" t="s">
        <v>1209</v>
      </c>
      <c r="E836" s="6" t="s">
        <v>16</v>
      </c>
      <c r="F836" s="5" t="s">
        <v>1210</v>
      </c>
      <c r="G836" s="5" t="s">
        <v>1211</v>
      </c>
      <c r="H836" s="6">
        <v>20</v>
      </c>
      <c r="I836" s="5" t="s">
        <v>1212</v>
      </c>
      <c r="J836" s="6">
        <v>2</v>
      </c>
      <c r="K836" s="7" t="str">
        <f t="shared" si="12"/>
        <v>H251</v>
      </c>
      <c r="L836" s="8"/>
      <c r="M836" s="9" t="str">
        <f t="shared" si="13"/>
        <v>MAN1524</v>
      </c>
      <c r="N836" s="9">
        <f t="shared" si="14"/>
        <v>7</v>
      </c>
      <c r="O836" s="9" t="str">
        <f t="shared" si="15"/>
        <v>K/1MAN1524</v>
      </c>
    </row>
    <row r="837" spans="1:15" ht="17.5" x14ac:dyDescent="0.55000000000000004">
      <c r="A837" s="10" t="s">
        <v>1208</v>
      </c>
      <c r="B837" s="10" t="s">
        <v>13</v>
      </c>
      <c r="C837" s="10" t="s">
        <v>25</v>
      </c>
      <c r="D837" s="10" t="s">
        <v>1213</v>
      </c>
      <c r="E837" s="11" t="s">
        <v>16</v>
      </c>
      <c r="F837" s="10" t="s">
        <v>1214</v>
      </c>
      <c r="G837" s="10" t="s">
        <v>1211</v>
      </c>
      <c r="H837" s="11">
        <v>20</v>
      </c>
      <c r="I837" s="10" t="s">
        <v>1212</v>
      </c>
      <c r="J837" s="11">
        <v>2</v>
      </c>
      <c r="K837" s="7" t="str">
        <f t="shared" si="12"/>
        <v>H251</v>
      </c>
      <c r="L837" s="8"/>
      <c r="M837" s="9" t="str">
        <f t="shared" si="13"/>
        <v>MAN150M</v>
      </c>
      <c r="N837" s="9">
        <f t="shared" si="14"/>
        <v>7</v>
      </c>
      <c r="O837" s="9" t="str">
        <f t="shared" si="15"/>
        <v>K/1MAN150M</v>
      </c>
    </row>
    <row r="838" spans="1:15" ht="17.5" x14ac:dyDescent="0.55000000000000004">
      <c r="A838" s="5" t="s">
        <v>1208</v>
      </c>
      <c r="B838" s="5" t="s">
        <v>13</v>
      </c>
      <c r="C838" s="5" t="s">
        <v>64</v>
      </c>
      <c r="D838" s="5" t="s">
        <v>1215</v>
      </c>
      <c r="E838" s="6" t="s">
        <v>16</v>
      </c>
      <c r="F838" s="5" t="s">
        <v>1216</v>
      </c>
      <c r="G838" s="5" t="s">
        <v>1211</v>
      </c>
      <c r="H838" s="6">
        <v>20</v>
      </c>
      <c r="I838" s="5" t="s">
        <v>1212</v>
      </c>
      <c r="J838" s="6">
        <v>2</v>
      </c>
      <c r="K838" s="7" t="str">
        <f t="shared" si="12"/>
        <v>H251</v>
      </c>
      <c r="L838" s="8"/>
      <c r="M838" s="9" t="str">
        <f t="shared" si="13"/>
        <v>MAN1526</v>
      </c>
      <c r="N838" s="9">
        <f t="shared" si="14"/>
        <v>7</v>
      </c>
      <c r="O838" s="9" t="str">
        <f t="shared" si="15"/>
        <v>K/1MAN1526</v>
      </c>
    </row>
    <row r="839" spans="1:15" ht="17.5" x14ac:dyDescent="0.55000000000000004">
      <c r="A839" s="10" t="s">
        <v>1208</v>
      </c>
      <c r="B839" s="10" t="s">
        <v>13</v>
      </c>
      <c r="C839" s="10" t="s">
        <v>36</v>
      </c>
      <c r="D839" s="10" t="s">
        <v>1217</v>
      </c>
      <c r="E839" s="11" t="s">
        <v>16</v>
      </c>
      <c r="F839" s="10" t="s">
        <v>1218</v>
      </c>
      <c r="G839" s="10" t="s">
        <v>17</v>
      </c>
      <c r="H839" s="11">
        <v>0</v>
      </c>
      <c r="I839" s="10" t="s">
        <v>1212</v>
      </c>
      <c r="J839" s="11">
        <v>4</v>
      </c>
      <c r="K839" s="7" t="str">
        <f t="shared" si="12"/>
        <v>H251</v>
      </c>
      <c r="L839" s="8"/>
      <c r="M839" s="9" t="str">
        <f t="shared" si="13"/>
        <v>MAN160N</v>
      </c>
      <c r="N839" s="9">
        <f t="shared" si="14"/>
        <v>7</v>
      </c>
      <c r="O839" s="9" t="str">
        <f t="shared" si="15"/>
        <v>K/1MAN160N</v>
      </c>
    </row>
    <row r="840" spans="1:15" ht="17.5" x14ac:dyDescent="0.55000000000000004">
      <c r="A840" s="5" t="s">
        <v>1208</v>
      </c>
      <c r="B840" s="5" t="s">
        <v>31</v>
      </c>
      <c r="C840" s="5" t="s">
        <v>14</v>
      </c>
      <c r="D840" s="5" t="s">
        <v>1219</v>
      </c>
      <c r="E840" s="6" t="s">
        <v>16</v>
      </c>
      <c r="F840" s="5" t="s">
        <v>1220</v>
      </c>
      <c r="G840" s="5" t="s">
        <v>17</v>
      </c>
      <c r="H840" s="6">
        <v>0</v>
      </c>
      <c r="I840" s="5" t="s">
        <v>1212</v>
      </c>
      <c r="J840" s="6">
        <v>2</v>
      </c>
      <c r="K840" s="7" t="str">
        <f t="shared" si="12"/>
        <v>H251</v>
      </c>
      <c r="L840" s="8"/>
      <c r="M840" s="9" t="str">
        <f t="shared" si="13"/>
        <v>MAN1543</v>
      </c>
      <c r="N840" s="9">
        <f t="shared" si="14"/>
        <v>7</v>
      </c>
      <c r="O840" s="9" t="str">
        <f t="shared" si="15"/>
        <v>K/1MAN1543</v>
      </c>
    </row>
    <row r="841" spans="1:15" ht="17.5" x14ac:dyDescent="0.55000000000000004">
      <c r="A841" s="10" t="s">
        <v>1208</v>
      </c>
      <c r="B841" s="10" t="s">
        <v>31</v>
      </c>
      <c r="C841" s="10" t="s">
        <v>14</v>
      </c>
      <c r="D841" s="10" t="s">
        <v>1221</v>
      </c>
      <c r="E841" s="11" t="s">
        <v>16</v>
      </c>
      <c r="F841" s="10" t="s">
        <v>1222</v>
      </c>
      <c r="G841" s="10" t="s">
        <v>1211</v>
      </c>
      <c r="H841" s="11">
        <v>20</v>
      </c>
      <c r="I841" s="10" t="s">
        <v>1212</v>
      </c>
      <c r="J841" s="11">
        <v>2</v>
      </c>
      <c r="K841" s="7" t="str">
        <f t="shared" si="12"/>
        <v>H251</v>
      </c>
      <c r="L841" s="8"/>
      <c r="M841" s="9" t="str">
        <f t="shared" si="13"/>
        <v>MAN1554</v>
      </c>
      <c r="N841" s="9">
        <f t="shared" si="14"/>
        <v>7</v>
      </c>
      <c r="O841" s="9" t="str">
        <f t="shared" si="15"/>
        <v>K/1MAN1554</v>
      </c>
    </row>
    <row r="842" spans="1:15" ht="17.5" x14ac:dyDescent="0.55000000000000004">
      <c r="A842" s="5" t="s">
        <v>1208</v>
      </c>
      <c r="B842" s="5" t="s">
        <v>31</v>
      </c>
      <c r="C842" s="5" t="s">
        <v>25</v>
      </c>
      <c r="D842" s="5" t="s">
        <v>1223</v>
      </c>
      <c r="E842" s="6" t="s">
        <v>16</v>
      </c>
      <c r="F842" s="5" t="s">
        <v>1224</v>
      </c>
      <c r="G842" s="5" t="s">
        <v>17</v>
      </c>
      <c r="H842" s="6">
        <v>0</v>
      </c>
      <c r="I842" s="5" t="s">
        <v>1212</v>
      </c>
      <c r="J842" s="6">
        <v>2</v>
      </c>
      <c r="K842" s="7" t="str">
        <f t="shared" si="12"/>
        <v>H251</v>
      </c>
      <c r="L842" s="8"/>
      <c r="M842" s="9" t="str">
        <f t="shared" si="13"/>
        <v>MAN1516</v>
      </c>
      <c r="N842" s="9">
        <f t="shared" si="14"/>
        <v>7</v>
      </c>
      <c r="O842" s="9" t="str">
        <f t="shared" si="15"/>
        <v>K/1MAN1516</v>
      </c>
    </row>
    <row r="843" spans="1:15" ht="17.5" x14ac:dyDescent="0.55000000000000004">
      <c r="A843" s="10" t="s">
        <v>1208</v>
      </c>
      <c r="B843" s="10" t="s">
        <v>31</v>
      </c>
      <c r="C843" s="10" t="s">
        <v>639</v>
      </c>
      <c r="D843" s="10" t="s">
        <v>1225</v>
      </c>
      <c r="E843" s="11" t="s">
        <v>16</v>
      </c>
      <c r="F843" s="10" t="s">
        <v>1226</v>
      </c>
      <c r="G843" s="10" t="s">
        <v>17</v>
      </c>
      <c r="H843" s="11">
        <v>0</v>
      </c>
      <c r="I843" s="10" t="s">
        <v>1212</v>
      </c>
      <c r="J843" s="11">
        <v>2</v>
      </c>
      <c r="K843" s="7" t="str">
        <f t="shared" si="12"/>
        <v>H251</v>
      </c>
      <c r="L843" s="8"/>
      <c r="M843" s="9" t="str">
        <f t="shared" si="13"/>
        <v>MAN1525</v>
      </c>
      <c r="N843" s="9">
        <f t="shared" si="14"/>
        <v>7</v>
      </c>
      <c r="O843" s="9" t="str">
        <f t="shared" si="15"/>
        <v>K/1MAN1525</v>
      </c>
    </row>
    <row r="844" spans="1:15" ht="17.5" x14ac:dyDescent="0.55000000000000004">
      <c r="A844" s="5" t="s">
        <v>1208</v>
      </c>
      <c r="B844" s="5" t="s">
        <v>31</v>
      </c>
      <c r="C844" s="5" t="s">
        <v>64</v>
      </c>
      <c r="D844" s="5" t="s">
        <v>1227</v>
      </c>
      <c r="E844" s="6" t="s">
        <v>16</v>
      </c>
      <c r="F844" s="5" t="s">
        <v>1224</v>
      </c>
      <c r="G844" s="5" t="s">
        <v>17</v>
      </c>
      <c r="H844" s="6">
        <v>0</v>
      </c>
      <c r="I844" s="5" t="s">
        <v>1212</v>
      </c>
      <c r="J844" s="6">
        <v>2</v>
      </c>
      <c r="K844" s="7" t="str">
        <f t="shared" si="12"/>
        <v>H251</v>
      </c>
      <c r="L844" s="8"/>
      <c r="M844" s="9" t="str">
        <f t="shared" si="13"/>
        <v>MAN1517</v>
      </c>
      <c r="N844" s="9">
        <f t="shared" si="14"/>
        <v>7</v>
      </c>
      <c r="O844" s="9" t="str">
        <f t="shared" si="15"/>
        <v>K/1MAN1517</v>
      </c>
    </row>
    <row r="845" spans="1:15" ht="17.5" x14ac:dyDescent="0.55000000000000004">
      <c r="A845" s="10" t="s">
        <v>1208</v>
      </c>
      <c r="B845" s="10" t="s">
        <v>31</v>
      </c>
      <c r="C845" s="10" t="s">
        <v>64</v>
      </c>
      <c r="D845" s="10" t="s">
        <v>1228</v>
      </c>
      <c r="E845" s="11" t="s">
        <v>16</v>
      </c>
      <c r="F845" s="10" t="s">
        <v>1229</v>
      </c>
      <c r="G845" s="10" t="s">
        <v>1211</v>
      </c>
      <c r="H845" s="11">
        <v>20</v>
      </c>
      <c r="I845" s="10" t="s">
        <v>1212</v>
      </c>
      <c r="J845" s="11">
        <v>2</v>
      </c>
      <c r="K845" s="7" t="str">
        <f t="shared" si="12"/>
        <v>H251</v>
      </c>
      <c r="L845" s="8"/>
      <c r="M845" s="9" t="str">
        <f t="shared" si="13"/>
        <v>MAN1544</v>
      </c>
      <c r="N845" s="9">
        <f t="shared" si="14"/>
        <v>7</v>
      </c>
      <c r="O845" s="9" t="str">
        <f t="shared" si="15"/>
        <v>K/1MAN1544</v>
      </c>
    </row>
    <row r="846" spans="1:15" ht="17.5" x14ac:dyDescent="0.55000000000000004">
      <c r="A846" s="5" t="s">
        <v>1208</v>
      </c>
      <c r="B846" s="5" t="s">
        <v>41</v>
      </c>
      <c r="C846" s="5" t="s">
        <v>14</v>
      </c>
      <c r="D846" s="5" t="s">
        <v>1230</v>
      </c>
      <c r="E846" s="6" t="s">
        <v>16</v>
      </c>
      <c r="F846" s="5" t="s">
        <v>1220</v>
      </c>
      <c r="G846" s="5" t="s">
        <v>17</v>
      </c>
      <c r="H846" s="6">
        <v>0</v>
      </c>
      <c r="I846" s="5" t="s">
        <v>1212</v>
      </c>
      <c r="J846" s="6">
        <v>2</v>
      </c>
      <c r="K846" s="7" t="str">
        <f t="shared" si="12"/>
        <v>H251</v>
      </c>
      <c r="L846" s="8"/>
      <c r="M846" s="9" t="str">
        <f t="shared" si="13"/>
        <v>MAN1545</v>
      </c>
      <c r="N846" s="9">
        <f t="shared" si="14"/>
        <v>7</v>
      </c>
      <c r="O846" s="9" t="str">
        <f t="shared" si="15"/>
        <v>K/1MAN1545</v>
      </c>
    </row>
    <row r="847" spans="1:15" ht="17.5" x14ac:dyDescent="0.55000000000000004">
      <c r="A847" s="10" t="s">
        <v>1208</v>
      </c>
      <c r="B847" s="10" t="s">
        <v>41</v>
      </c>
      <c r="C847" s="10" t="s">
        <v>14</v>
      </c>
      <c r="D847" s="10" t="s">
        <v>1231</v>
      </c>
      <c r="E847" s="11" t="s">
        <v>16</v>
      </c>
      <c r="F847" s="10" t="s">
        <v>1232</v>
      </c>
      <c r="G847" s="10" t="s">
        <v>1211</v>
      </c>
      <c r="H847" s="11">
        <v>20</v>
      </c>
      <c r="I847" s="10" t="s">
        <v>1212</v>
      </c>
      <c r="J847" s="11">
        <v>2</v>
      </c>
      <c r="K847" s="7" t="str">
        <f t="shared" si="12"/>
        <v>H251</v>
      </c>
      <c r="L847" s="8"/>
      <c r="M847" s="9" t="str">
        <f t="shared" si="13"/>
        <v>MAN1552</v>
      </c>
      <c r="N847" s="9">
        <f t="shared" si="14"/>
        <v>7</v>
      </c>
      <c r="O847" s="9" t="str">
        <f t="shared" si="15"/>
        <v>K/1MAN1552</v>
      </c>
    </row>
    <row r="848" spans="1:15" ht="17.5" x14ac:dyDescent="0.55000000000000004">
      <c r="A848" s="5" t="s">
        <v>1208</v>
      </c>
      <c r="B848" s="5" t="s">
        <v>41</v>
      </c>
      <c r="C848" s="5" t="s">
        <v>64</v>
      </c>
      <c r="D848" s="5" t="s">
        <v>1233</v>
      </c>
      <c r="E848" s="6" t="s">
        <v>16</v>
      </c>
      <c r="F848" s="5" t="s">
        <v>1220</v>
      </c>
      <c r="G848" s="5" t="s">
        <v>17</v>
      </c>
      <c r="H848" s="6">
        <v>0</v>
      </c>
      <c r="I848" s="5" t="s">
        <v>1212</v>
      </c>
      <c r="J848" s="6">
        <v>2</v>
      </c>
      <c r="K848" s="7" t="str">
        <f t="shared" si="12"/>
        <v>H251</v>
      </c>
      <c r="L848" s="8"/>
      <c r="M848" s="9" t="str">
        <f t="shared" si="13"/>
        <v>MAN1546</v>
      </c>
      <c r="N848" s="9">
        <f t="shared" si="14"/>
        <v>7</v>
      </c>
      <c r="O848" s="9" t="str">
        <f t="shared" si="15"/>
        <v>K/1MAN1546</v>
      </c>
    </row>
    <row r="849" spans="1:15" ht="17.5" x14ac:dyDescent="0.55000000000000004">
      <c r="A849" s="10" t="s">
        <v>1208</v>
      </c>
      <c r="B849" s="10" t="s">
        <v>41</v>
      </c>
      <c r="C849" s="10" t="s">
        <v>64</v>
      </c>
      <c r="D849" s="10" t="s">
        <v>1234</v>
      </c>
      <c r="E849" s="11" t="s">
        <v>16</v>
      </c>
      <c r="F849" s="10" t="s">
        <v>1115</v>
      </c>
      <c r="G849" s="10" t="s">
        <v>1211</v>
      </c>
      <c r="H849" s="11">
        <v>20</v>
      </c>
      <c r="I849" s="10" t="s">
        <v>1212</v>
      </c>
      <c r="J849" s="11">
        <v>2</v>
      </c>
      <c r="K849" s="7" t="str">
        <f t="shared" si="12"/>
        <v>H251</v>
      </c>
      <c r="L849" s="8"/>
      <c r="M849" s="9" t="str">
        <f t="shared" si="13"/>
        <v>MAN1551</v>
      </c>
      <c r="N849" s="9">
        <f t="shared" si="14"/>
        <v>7</v>
      </c>
      <c r="O849" s="9" t="str">
        <f t="shared" si="15"/>
        <v>K/1MAN1551</v>
      </c>
    </row>
    <row r="850" spans="1:15" ht="17.5" x14ac:dyDescent="0.55000000000000004">
      <c r="A850" s="5" t="s">
        <v>1208</v>
      </c>
      <c r="B850" s="5" t="s">
        <v>47</v>
      </c>
      <c r="C850" s="5" t="s">
        <v>14</v>
      </c>
      <c r="D850" s="5" t="s">
        <v>1235</v>
      </c>
      <c r="E850" s="6" t="s">
        <v>16</v>
      </c>
      <c r="F850" s="5" t="s">
        <v>1218</v>
      </c>
      <c r="G850" s="5" t="s">
        <v>1211</v>
      </c>
      <c r="H850" s="6">
        <v>20</v>
      </c>
      <c r="I850" s="5" t="s">
        <v>1212</v>
      </c>
      <c r="J850" s="6">
        <v>2</v>
      </c>
      <c r="K850" s="7" t="str">
        <f t="shared" si="12"/>
        <v>H251</v>
      </c>
      <c r="L850" s="8"/>
      <c r="M850" s="9" t="str">
        <f t="shared" si="13"/>
        <v>MAN1535</v>
      </c>
      <c r="N850" s="9">
        <f t="shared" si="14"/>
        <v>7</v>
      </c>
      <c r="O850" s="9" t="str">
        <f t="shared" si="15"/>
        <v>K/1MAN1535</v>
      </c>
    </row>
    <row r="851" spans="1:15" ht="17.5" x14ac:dyDescent="0.55000000000000004">
      <c r="A851" s="10" t="s">
        <v>1208</v>
      </c>
      <c r="B851" s="10" t="s">
        <v>47</v>
      </c>
      <c r="C851" s="10" t="s">
        <v>25</v>
      </c>
      <c r="D851" s="10" t="s">
        <v>1236</v>
      </c>
      <c r="E851" s="11" t="s">
        <v>16</v>
      </c>
      <c r="F851" s="10" t="s">
        <v>1222</v>
      </c>
      <c r="G851" s="10" t="s">
        <v>1211</v>
      </c>
      <c r="H851" s="11">
        <v>20</v>
      </c>
      <c r="I851" s="10" t="s">
        <v>1212</v>
      </c>
      <c r="J851" s="11">
        <v>2</v>
      </c>
      <c r="K851" s="7" t="str">
        <f t="shared" si="12"/>
        <v>H251</v>
      </c>
      <c r="L851" s="8"/>
      <c r="M851" s="9" t="str">
        <f t="shared" si="13"/>
        <v>MAN1527</v>
      </c>
      <c r="N851" s="9">
        <f t="shared" si="14"/>
        <v>7</v>
      </c>
      <c r="O851" s="9" t="str">
        <f t="shared" si="15"/>
        <v>K/1MAN1527</v>
      </c>
    </row>
    <row r="852" spans="1:15" ht="17.5" x14ac:dyDescent="0.55000000000000004">
      <c r="A852" s="5" t="s">
        <v>1208</v>
      </c>
      <c r="B852" s="5" t="s">
        <v>47</v>
      </c>
      <c r="C852" s="5" t="s">
        <v>25</v>
      </c>
      <c r="D852" s="5" t="s">
        <v>1237</v>
      </c>
      <c r="E852" s="6" t="s">
        <v>16</v>
      </c>
      <c r="F852" s="5" t="s">
        <v>1218</v>
      </c>
      <c r="G852" s="5" t="s">
        <v>17</v>
      </c>
      <c r="H852" s="6">
        <v>0</v>
      </c>
      <c r="I852" s="5" t="s">
        <v>1212</v>
      </c>
      <c r="J852" s="6">
        <v>2</v>
      </c>
      <c r="K852" s="7" t="str">
        <f t="shared" si="12"/>
        <v>H251</v>
      </c>
      <c r="L852" s="8"/>
      <c r="M852" s="9" t="str">
        <f t="shared" si="13"/>
        <v>MAN1536</v>
      </c>
      <c r="N852" s="9">
        <f t="shared" si="14"/>
        <v>7</v>
      </c>
      <c r="O852" s="9" t="str">
        <f t="shared" si="15"/>
        <v>K/1MAN1536</v>
      </c>
    </row>
    <row r="853" spans="1:15" ht="17.5" x14ac:dyDescent="0.55000000000000004">
      <c r="A853" s="10" t="s">
        <v>1208</v>
      </c>
      <c r="B853" s="10" t="s">
        <v>47</v>
      </c>
      <c r="C853" s="10" t="s">
        <v>64</v>
      </c>
      <c r="D853" s="10" t="s">
        <v>1238</v>
      </c>
      <c r="E853" s="11" t="s">
        <v>16</v>
      </c>
      <c r="F853" s="10" t="s">
        <v>1224</v>
      </c>
      <c r="G853" s="10" t="s">
        <v>17</v>
      </c>
      <c r="H853" s="11">
        <v>0</v>
      </c>
      <c r="I853" s="10" t="s">
        <v>1212</v>
      </c>
      <c r="J853" s="11">
        <v>2</v>
      </c>
      <c r="K853" s="7" t="str">
        <f t="shared" si="12"/>
        <v>H251</v>
      </c>
      <c r="L853" s="8"/>
      <c r="M853" s="9" t="str">
        <f t="shared" si="13"/>
        <v>MAN1515</v>
      </c>
      <c r="N853" s="9">
        <f t="shared" si="14"/>
        <v>7</v>
      </c>
      <c r="O853" s="9" t="str">
        <f t="shared" si="15"/>
        <v>K/1MAN1515</v>
      </c>
    </row>
    <row r="854" spans="1:15" ht="17.5" x14ac:dyDescent="0.55000000000000004">
      <c r="A854" s="5" t="s">
        <v>1208</v>
      </c>
      <c r="B854" s="5" t="s">
        <v>52</v>
      </c>
      <c r="C854" s="5" t="s">
        <v>14</v>
      </c>
      <c r="D854" s="5" t="s">
        <v>1239</v>
      </c>
      <c r="E854" s="6" t="s">
        <v>16</v>
      </c>
      <c r="F854" s="5" t="s">
        <v>1214</v>
      </c>
      <c r="G854" s="5" t="s">
        <v>1211</v>
      </c>
      <c r="H854" s="6">
        <v>20</v>
      </c>
      <c r="I854" s="5" t="s">
        <v>1212</v>
      </c>
      <c r="J854" s="6">
        <v>2</v>
      </c>
      <c r="K854" s="7" t="str">
        <f t="shared" si="12"/>
        <v>H251</v>
      </c>
      <c r="L854" s="8"/>
      <c r="M854" s="9" t="str">
        <f t="shared" si="13"/>
        <v>MAN1533</v>
      </c>
      <c r="N854" s="9">
        <f t="shared" si="14"/>
        <v>7</v>
      </c>
      <c r="O854" s="9" t="str">
        <f t="shared" si="15"/>
        <v>K/1MAN1533</v>
      </c>
    </row>
    <row r="855" spans="1:15" ht="17.5" x14ac:dyDescent="0.55000000000000004">
      <c r="A855" s="10" t="s">
        <v>1208</v>
      </c>
      <c r="B855" s="10" t="s">
        <v>52</v>
      </c>
      <c r="C855" s="10" t="s">
        <v>14</v>
      </c>
      <c r="D855" s="10" t="s">
        <v>1240</v>
      </c>
      <c r="E855" s="11" t="s">
        <v>16</v>
      </c>
      <c r="F855" s="10" t="s">
        <v>1218</v>
      </c>
      <c r="G855" s="10" t="s">
        <v>17</v>
      </c>
      <c r="H855" s="11">
        <v>0</v>
      </c>
      <c r="I855" s="10" t="s">
        <v>1212</v>
      </c>
      <c r="J855" s="11">
        <v>2</v>
      </c>
      <c r="K855" s="7" t="str">
        <f t="shared" si="12"/>
        <v>H251</v>
      </c>
      <c r="L855" s="8"/>
      <c r="M855" s="9" t="str">
        <f t="shared" si="13"/>
        <v>MAN1553</v>
      </c>
      <c r="N855" s="9">
        <f t="shared" si="14"/>
        <v>7</v>
      </c>
      <c r="O855" s="9" t="str">
        <f t="shared" si="15"/>
        <v>K/1MAN1553</v>
      </c>
    </row>
    <row r="856" spans="1:15" ht="17.5" x14ac:dyDescent="0.55000000000000004">
      <c r="A856" s="5" t="s">
        <v>1208</v>
      </c>
      <c r="B856" s="5" t="s">
        <v>52</v>
      </c>
      <c r="C856" s="5" t="s">
        <v>235</v>
      </c>
      <c r="D856" s="5" t="s">
        <v>1241</v>
      </c>
      <c r="E856" s="6" t="s">
        <v>16</v>
      </c>
      <c r="F856" s="5" t="s">
        <v>1224</v>
      </c>
      <c r="G856" s="5" t="s">
        <v>17</v>
      </c>
      <c r="H856" s="6">
        <v>0</v>
      </c>
      <c r="I856" s="5" t="s">
        <v>1212</v>
      </c>
      <c r="J856" s="6">
        <v>2</v>
      </c>
      <c r="K856" s="7" t="str">
        <f t="shared" si="12"/>
        <v>H251</v>
      </c>
      <c r="L856" s="8"/>
      <c r="M856" s="9" t="str">
        <f t="shared" si="13"/>
        <v>MAN1518</v>
      </c>
      <c r="N856" s="9">
        <f t="shared" si="14"/>
        <v>7</v>
      </c>
      <c r="O856" s="9" t="str">
        <f t="shared" si="15"/>
        <v>K/1MAN1518</v>
      </c>
    </row>
    <row r="857" spans="1:15" ht="17.5" x14ac:dyDescent="0.55000000000000004">
      <c r="A857" s="10" t="s">
        <v>1208</v>
      </c>
      <c r="B857" s="10" t="s">
        <v>52</v>
      </c>
      <c r="C857" s="10" t="s">
        <v>235</v>
      </c>
      <c r="D857" s="10" t="s">
        <v>1242</v>
      </c>
      <c r="E857" s="11" t="s">
        <v>16</v>
      </c>
      <c r="F857" s="10" t="s">
        <v>1232</v>
      </c>
      <c r="G857" s="10" t="s">
        <v>17</v>
      </c>
      <c r="H857" s="11">
        <v>0</v>
      </c>
      <c r="I857" s="10" t="s">
        <v>1212</v>
      </c>
      <c r="J857" s="11">
        <v>2</v>
      </c>
      <c r="K857" s="7" t="str">
        <f t="shared" si="12"/>
        <v>H251</v>
      </c>
      <c r="L857" s="8"/>
      <c r="M857" s="9" t="str">
        <f t="shared" si="13"/>
        <v>MAN1534</v>
      </c>
      <c r="N857" s="9">
        <f t="shared" si="14"/>
        <v>7</v>
      </c>
      <c r="O857" s="9" t="str">
        <f t="shared" si="15"/>
        <v>K/1MAN1534</v>
      </c>
    </row>
    <row r="858" spans="1:15" ht="17.5" x14ac:dyDescent="0.55000000000000004">
      <c r="A858" s="5" t="s">
        <v>1208</v>
      </c>
      <c r="B858" s="5" t="s">
        <v>52</v>
      </c>
      <c r="C858" s="5" t="s">
        <v>198</v>
      </c>
      <c r="D858" s="5" t="s">
        <v>1213</v>
      </c>
      <c r="E858" s="6" t="s">
        <v>155</v>
      </c>
      <c r="F858" s="5" t="s">
        <v>1214</v>
      </c>
      <c r="G858" s="5" t="s">
        <v>17</v>
      </c>
      <c r="H858" s="6">
        <v>0</v>
      </c>
      <c r="I858" s="5" t="s">
        <v>1212</v>
      </c>
      <c r="J858" s="6">
        <v>2</v>
      </c>
      <c r="K858" s="7" t="str">
        <f t="shared" si="12"/>
        <v>H251</v>
      </c>
      <c r="L858" s="8"/>
      <c r="M858" s="9" t="str">
        <f t="shared" si="13"/>
        <v>MAN150M</v>
      </c>
      <c r="N858" s="9">
        <f t="shared" si="14"/>
        <v>7</v>
      </c>
      <c r="O858" s="9" t="str">
        <f t="shared" si="15"/>
        <v>K/2MAN150M</v>
      </c>
    </row>
    <row r="859" spans="1:15" ht="17.5" x14ac:dyDescent="0.55000000000000004">
      <c r="A859" s="10" t="s">
        <v>1208</v>
      </c>
      <c r="B859" s="10" t="s">
        <v>195</v>
      </c>
      <c r="C859" s="10" t="s">
        <v>14</v>
      </c>
      <c r="D859" s="10" t="s">
        <v>1223</v>
      </c>
      <c r="E859" s="11" t="s">
        <v>155</v>
      </c>
      <c r="F859" s="10" t="s">
        <v>1224</v>
      </c>
      <c r="G859" s="10" t="s">
        <v>17</v>
      </c>
      <c r="H859" s="11">
        <v>0</v>
      </c>
      <c r="I859" s="10" t="s">
        <v>1212</v>
      </c>
      <c r="J859" s="11">
        <v>2</v>
      </c>
      <c r="K859" s="7" t="str">
        <f t="shared" si="12"/>
        <v>H251</v>
      </c>
      <c r="L859" s="8"/>
      <c r="M859" s="9" t="str">
        <f t="shared" si="13"/>
        <v>MAN1516</v>
      </c>
      <c r="N859" s="9">
        <f t="shared" si="14"/>
        <v>7</v>
      </c>
      <c r="O859" s="9" t="str">
        <f t="shared" si="15"/>
        <v>K/2MAN1516</v>
      </c>
    </row>
    <row r="860" spans="1:15" ht="17.5" x14ac:dyDescent="0.55000000000000004">
      <c r="A860" s="5" t="s">
        <v>1208</v>
      </c>
      <c r="B860" s="5" t="s">
        <v>195</v>
      </c>
      <c r="C860" s="5" t="s">
        <v>14</v>
      </c>
      <c r="D860" s="5" t="s">
        <v>1225</v>
      </c>
      <c r="E860" s="6" t="s">
        <v>155</v>
      </c>
      <c r="F860" s="5" t="s">
        <v>1226</v>
      </c>
      <c r="G860" s="5" t="s">
        <v>17</v>
      </c>
      <c r="H860" s="6">
        <v>0</v>
      </c>
      <c r="I860" s="5" t="s">
        <v>1212</v>
      </c>
      <c r="J860" s="6">
        <v>2</v>
      </c>
      <c r="K860" s="7" t="str">
        <f t="shared" si="12"/>
        <v>H251</v>
      </c>
      <c r="L860" s="8"/>
      <c r="M860" s="9" t="str">
        <f t="shared" si="13"/>
        <v>MAN1525</v>
      </c>
      <c r="N860" s="9">
        <f t="shared" si="14"/>
        <v>7</v>
      </c>
      <c r="O860" s="9" t="str">
        <f t="shared" si="15"/>
        <v>K/2MAN1525</v>
      </c>
    </row>
    <row r="861" spans="1:15" ht="17.5" x14ac:dyDescent="0.55000000000000004">
      <c r="A861" s="10" t="s">
        <v>1208</v>
      </c>
      <c r="B861" s="10" t="s">
        <v>195</v>
      </c>
      <c r="C861" s="10" t="s">
        <v>14</v>
      </c>
      <c r="D861" s="10" t="s">
        <v>1234</v>
      </c>
      <c r="E861" s="11" t="s">
        <v>155</v>
      </c>
      <c r="F861" s="10" t="s">
        <v>1115</v>
      </c>
      <c r="G861" s="10" t="s">
        <v>17</v>
      </c>
      <c r="H861" s="11">
        <v>0</v>
      </c>
      <c r="I861" s="10" t="s">
        <v>1212</v>
      </c>
      <c r="J861" s="11">
        <v>2</v>
      </c>
      <c r="K861" s="7" t="str">
        <f t="shared" si="12"/>
        <v>H251</v>
      </c>
      <c r="L861" s="8"/>
      <c r="M861" s="9" t="str">
        <f t="shared" si="13"/>
        <v>MAN1551</v>
      </c>
      <c r="N861" s="9">
        <f t="shared" si="14"/>
        <v>7</v>
      </c>
      <c r="O861" s="9" t="str">
        <f t="shared" si="15"/>
        <v>K/2MAN1551</v>
      </c>
    </row>
    <row r="862" spans="1:15" ht="17.5" x14ac:dyDescent="0.55000000000000004">
      <c r="A862" s="5" t="s">
        <v>1208</v>
      </c>
      <c r="B862" s="5" t="s">
        <v>195</v>
      </c>
      <c r="C862" s="5" t="s">
        <v>25</v>
      </c>
      <c r="D862" s="5" t="s">
        <v>1227</v>
      </c>
      <c r="E862" s="6" t="s">
        <v>155</v>
      </c>
      <c r="F862" s="5" t="s">
        <v>1224</v>
      </c>
      <c r="G862" s="5" t="s">
        <v>17</v>
      </c>
      <c r="H862" s="6">
        <v>0</v>
      </c>
      <c r="I862" s="5" t="s">
        <v>1212</v>
      </c>
      <c r="J862" s="6">
        <v>2</v>
      </c>
      <c r="K862" s="7" t="str">
        <f t="shared" si="12"/>
        <v>H251</v>
      </c>
      <c r="L862" s="8"/>
      <c r="M862" s="9" t="str">
        <f t="shared" si="13"/>
        <v>MAN1517</v>
      </c>
      <c r="N862" s="9">
        <f t="shared" si="14"/>
        <v>7</v>
      </c>
      <c r="O862" s="9" t="str">
        <f t="shared" si="15"/>
        <v>K/2MAN1517</v>
      </c>
    </row>
    <row r="863" spans="1:15" ht="17.5" x14ac:dyDescent="0.55000000000000004">
      <c r="A863" s="10" t="s">
        <v>1208</v>
      </c>
      <c r="B863" s="10" t="s">
        <v>195</v>
      </c>
      <c r="C863" s="10" t="s">
        <v>25</v>
      </c>
      <c r="D863" s="10" t="s">
        <v>1236</v>
      </c>
      <c r="E863" s="11" t="s">
        <v>155</v>
      </c>
      <c r="F863" s="10" t="s">
        <v>1222</v>
      </c>
      <c r="G863" s="10" t="s">
        <v>17</v>
      </c>
      <c r="H863" s="11">
        <v>0</v>
      </c>
      <c r="I863" s="10" t="s">
        <v>1212</v>
      </c>
      <c r="J863" s="11">
        <v>2</v>
      </c>
      <c r="K863" s="7" t="str">
        <f t="shared" si="12"/>
        <v>H251</v>
      </c>
      <c r="L863" s="8"/>
      <c r="M863" s="9" t="str">
        <f t="shared" si="13"/>
        <v>MAN1527</v>
      </c>
      <c r="N863" s="9">
        <f t="shared" si="14"/>
        <v>7</v>
      </c>
      <c r="O863" s="9" t="str">
        <f t="shared" si="15"/>
        <v>K/2MAN1527</v>
      </c>
    </row>
    <row r="864" spans="1:15" ht="17.5" x14ac:dyDescent="0.55000000000000004">
      <c r="A864" s="5" t="s">
        <v>1208</v>
      </c>
      <c r="B864" s="5" t="s">
        <v>195</v>
      </c>
      <c r="C864" s="5" t="s">
        <v>25</v>
      </c>
      <c r="D864" s="5" t="s">
        <v>1231</v>
      </c>
      <c r="E864" s="6" t="s">
        <v>155</v>
      </c>
      <c r="F864" s="5" t="s">
        <v>1232</v>
      </c>
      <c r="G864" s="5" t="s">
        <v>17</v>
      </c>
      <c r="H864" s="6">
        <v>0</v>
      </c>
      <c r="I864" s="5" t="s">
        <v>1212</v>
      </c>
      <c r="J864" s="6">
        <v>2</v>
      </c>
      <c r="K864" s="7" t="str">
        <f t="shared" si="12"/>
        <v>H251</v>
      </c>
      <c r="L864" s="8"/>
      <c r="M864" s="9" t="str">
        <f t="shared" si="13"/>
        <v>MAN1552</v>
      </c>
      <c r="N864" s="9">
        <f t="shared" si="14"/>
        <v>7</v>
      </c>
      <c r="O864" s="9" t="str">
        <f t="shared" si="15"/>
        <v>K/2MAN1552</v>
      </c>
    </row>
    <row r="865" spans="1:15" ht="17.5" x14ac:dyDescent="0.55000000000000004">
      <c r="A865" s="10" t="s">
        <v>1208</v>
      </c>
      <c r="B865" s="10" t="s">
        <v>195</v>
      </c>
      <c r="C865" s="10" t="s">
        <v>64</v>
      </c>
      <c r="D865" s="10" t="s">
        <v>1238</v>
      </c>
      <c r="E865" s="11" t="s">
        <v>155</v>
      </c>
      <c r="F865" s="10" t="s">
        <v>1224</v>
      </c>
      <c r="G865" s="10" t="s">
        <v>17</v>
      </c>
      <c r="H865" s="11">
        <v>0</v>
      </c>
      <c r="I865" s="10" t="s">
        <v>1212</v>
      </c>
      <c r="J865" s="11">
        <v>2</v>
      </c>
      <c r="K865" s="7" t="str">
        <f t="shared" si="12"/>
        <v>H251</v>
      </c>
      <c r="L865" s="8"/>
      <c r="M865" s="9" t="str">
        <f t="shared" si="13"/>
        <v>MAN1515</v>
      </c>
      <c r="N865" s="9">
        <f t="shared" si="14"/>
        <v>7</v>
      </c>
      <c r="O865" s="9" t="str">
        <f t="shared" si="15"/>
        <v>K/2MAN1515</v>
      </c>
    </row>
    <row r="866" spans="1:15" ht="17.5" x14ac:dyDescent="0.55000000000000004">
      <c r="A866" s="5" t="s">
        <v>1208</v>
      </c>
      <c r="B866" s="5" t="s">
        <v>195</v>
      </c>
      <c r="C866" s="5" t="s">
        <v>64</v>
      </c>
      <c r="D866" s="5" t="s">
        <v>1215</v>
      </c>
      <c r="E866" s="6" t="s">
        <v>155</v>
      </c>
      <c r="F866" s="5" t="s">
        <v>1216</v>
      </c>
      <c r="G866" s="5" t="s">
        <v>17</v>
      </c>
      <c r="H866" s="6">
        <v>0</v>
      </c>
      <c r="I866" s="5" t="s">
        <v>1212</v>
      </c>
      <c r="J866" s="6">
        <v>2</v>
      </c>
      <c r="K866" s="7" t="str">
        <f t="shared" si="12"/>
        <v>H251</v>
      </c>
      <c r="L866" s="8"/>
      <c r="M866" s="9" t="str">
        <f t="shared" si="13"/>
        <v>MAN1526</v>
      </c>
      <c r="N866" s="9">
        <f t="shared" si="14"/>
        <v>7</v>
      </c>
      <c r="O866" s="9" t="str">
        <f t="shared" si="15"/>
        <v>K/2MAN1526</v>
      </c>
    </row>
    <row r="867" spans="1:15" ht="17.5" x14ac:dyDescent="0.55000000000000004">
      <c r="A867" s="10" t="s">
        <v>1208</v>
      </c>
      <c r="B867" s="10" t="s">
        <v>195</v>
      </c>
      <c r="C867" s="10" t="s">
        <v>64</v>
      </c>
      <c r="D867" s="10" t="s">
        <v>1219</v>
      </c>
      <c r="E867" s="11" t="s">
        <v>155</v>
      </c>
      <c r="F867" s="10" t="s">
        <v>1220</v>
      </c>
      <c r="G867" s="10" t="s">
        <v>17</v>
      </c>
      <c r="H867" s="11">
        <v>0</v>
      </c>
      <c r="I867" s="10" t="s">
        <v>1212</v>
      </c>
      <c r="J867" s="11">
        <v>2</v>
      </c>
      <c r="K867" s="7" t="str">
        <f t="shared" si="12"/>
        <v>H251</v>
      </c>
      <c r="L867" s="8"/>
      <c r="M867" s="9" t="str">
        <f t="shared" si="13"/>
        <v>MAN1543</v>
      </c>
      <c r="N867" s="9">
        <f t="shared" si="14"/>
        <v>7</v>
      </c>
      <c r="O867" s="9" t="str">
        <f t="shared" si="15"/>
        <v>K/2MAN1543</v>
      </c>
    </row>
    <row r="868" spans="1:15" ht="17.5" x14ac:dyDescent="0.55000000000000004">
      <c r="A868" s="5" t="s">
        <v>1208</v>
      </c>
      <c r="B868" s="5" t="s">
        <v>195</v>
      </c>
      <c r="C868" s="5" t="s">
        <v>64</v>
      </c>
      <c r="D868" s="5" t="s">
        <v>1240</v>
      </c>
      <c r="E868" s="6" t="s">
        <v>155</v>
      </c>
      <c r="F868" s="5" t="s">
        <v>1218</v>
      </c>
      <c r="G868" s="5" t="s">
        <v>17</v>
      </c>
      <c r="H868" s="6">
        <v>0</v>
      </c>
      <c r="I868" s="5" t="s">
        <v>1212</v>
      </c>
      <c r="J868" s="6">
        <v>2</v>
      </c>
      <c r="K868" s="7" t="str">
        <f t="shared" si="12"/>
        <v>H251</v>
      </c>
      <c r="L868" s="8"/>
      <c r="M868" s="9" t="str">
        <f t="shared" si="13"/>
        <v>MAN1553</v>
      </c>
      <c r="N868" s="9">
        <f t="shared" si="14"/>
        <v>7</v>
      </c>
      <c r="O868" s="9" t="str">
        <f t="shared" si="15"/>
        <v>K/2MAN1553</v>
      </c>
    </row>
    <row r="869" spans="1:15" ht="17.5" x14ac:dyDescent="0.55000000000000004">
      <c r="A869" s="10" t="s">
        <v>1208</v>
      </c>
      <c r="B869" s="10" t="s">
        <v>195</v>
      </c>
      <c r="C869" s="10" t="s">
        <v>101</v>
      </c>
      <c r="D869" s="10" t="s">
        <v>1241</v>
      </c>
      <c r="E869" s="11" t="s">
        <v>155</v>
      </c>
      <c r="F869" s="10" t="s">
        <v>1224</v>
      </c>
      <c r="G869" s="10" t="s">
        <v>17</v>
      </c>
      <c r="H869" s="11">
        <v>0</v>
      </c>
      <c r="I869" s="10" t="s">
        <v>1212</v>
      </c>
      <c r="J869" s="11">
        <v>2</v>
      </c>
      <c r="K869" s="7" t="str">
        <f t="shared" si="12"/>
        <v>H251</v>
      </c>
      <c r="L869" s="8"/>
      <c r="M869" s="9" t="str">
        <f t="shared" si="13"/>
        <v>MAN1518</v>
      </c>
      <c r="N869" s="9">
        <f t="shared" si="14"/>
        <v>7</v>
      </c>
      <c r="O869" s="9" t="str">
        <f t="shared" si="15"/>
        <v>K/2MAN1518</v>
      </c>
    </row>
    <row r="870" spans="1:15" ht="17.5" x14ac:dyDescent="0.55000000000000004">
      <c r="A870" s="5" t="s">
        <v>1208</v>
      </c>
      <c r="B870" s="5" t="s">
        <v>195</v>
      </c>
      <c r="C870" s="5" t="s">
        <v>101</v>
      </c>
      <c r="D870" s="5" t="s">
        <v>1209</v>
      </c>
      <c r="E870" s="6" t="s">
        <v>155</v>
      </c>
      <c r="F870" s="5" t="s">
        <v>1210</v>
      </c>
      <c r="G870" s="5" t="s">
        <v>17</v>
      </c>
      <c r="H870" s="6">
        <v>0</v>
      </c>
      <c r="I870" s="5" t="s">
        <v>1212</v>
      </c>
      <c r="J870" s="6">
        <v>2</v>
      </c>
      <c r="K870" s="7" t="str">
        <f t="shared" si="12"/>
        <v>H251</v>
      </c>
      <c r="L870" s="8"/>
      <c r="M870" s="9" t="str">
        <f t="shared" si="13"/>
        <v>MAN1524</v>
      </c>
      <c r="N870" s="9">
        <f t="shared" si="14"/>
        <v>7</v>
      </c>
      <c r="O870" s="9" t="str">
        <f t="shared" si="15"/>
        <v>K/2MAN1524</v>
      </c>
    </row>
    <row r="871" spans="1:15" ht="17.5" x14ac:dyDescent="0.55000000000000004">
      <c r="A871" s="10" t="s">
        <v>1208</v>
      </c>
      <c r="B871" s="10" t="s">
        <v>195</v>
      </c>
      <c r="C871" s="10" t="s">
        <v>101</v>
      </c>
      <c r="D871" s="10" t="s">
        <v>1235</v>
      </c>
      <c r="E871" s="11" t="s">
        <v>155</v>
      </c>
      <c r="F871" s="10" t="s">
        <v>1218</v>
      </c>
      <c r="G871" s="10" t="s">
        <v>17</v>
      </c>
      <c r="H871" s="11">
        <v>0</v>
      </c>
      <c r="I871" s="10" t="s">
        <v>1212</v>
      </c>
      <c r="J871" s="11">
        <v>2</v>
      </c>
      <c r="K871" s="7" t="str">
        <f t="shared" si="12"/>
        <v>H251</v>
      </c>
      <c r="L871" s="8"/>
      <c r="M871" s="9" t="str">
        <f t="shared" si="13"/>
        <v>MAN1535</v>
      </c>
      <c r="N871" s="9">
        <f t="shared" si="14"/>
        <v>7</v>
      </c>
      <c r="O871" s="9" t="str">
        <f t="shared" si="15"/>
        <v>K/2MAN1535</v>
      </c>
    </row>
    <row r="872" spans="1:15" ht="17.5" x14ac:dyDescent="0.55000000000000004">
      <c r="A872" s="5" t="s">
        <v>1208</v>
      </c>
      <c r="B872" s="5" t="s">
        <v>195</v>
      </c>
      <c r="C872" s="5" t="s">
        <v>101</v>
      </c>
      <c r="D872" s="5" t="s">
        <v>1221</v>
      </c>
      <c r="E872" s="6" t="s">
        <v>155</v>
      </c>
      <c r="F872" s="5" t="s">
        <v>1222</v>
      </c>
      <c r="G872" s="5" t="s">
        <v>17</v>
      </c>
      <c r="H872" s="6">
        <v>0</v>
      </c>
      <c r="I872" s="5" t="s">
        <v>1212</v>
      </c>
      <c r="J872" s="6">
        <v>2</v>
      </c>
      <c r="K872" s="7" t="str">
        <f t="shared" si="12"/>
        <v>H251</v>
      </c>
      <c r="L872" s="8"/>
      <c r="M872" s="9" t="str">
        <f t="shared" si="13"/>
        <v>MAN1554</v>
      </c>
      <c r="N872" s="9">
        <f t="shared" si="14"/>
        <v>7</v>
      </c>
      <c r="O872" s="9" t="str">
        <f t="shared" si="15"/>
        <v>K/2MAN1554</v>
      </c>
    </row>
    <row r="873" spans="1:15" ht="17.5" x14ac:dyDescent="0.55000000000000004">
      <c r="A873" s="10" t="s">
        <v>1243</v>
      </c>
      <c r="B873" s="11" t="s">
        <v>13</v>
      </c>
      <c r="C873" s="11" t="s">
        <v>53</v>
      </c>
      <c r="D873" s="13" t="s">
        <v>1244</v>
      </c>
      <c r="E873" s="11" t="s">
        <v>16</v>
      </c>
      <c r="F873" s="11" t="s">
        <v>1245</v>
      </c>
      <c r="G873" s="11" t="s">
        <v>1246</v>
      </c>
      <c r="H873" s="11">
        <v>60</v>
      </c>
      <c r="I873" s="11" t="s">
        <v>1247</v>
      </c>
      <c r="J873" s="11">
        <v>2</v>
      </c>
      <c r="K873" s="7" t="str">
        <f t="shared" si="12"/>
        <v>H351</v>
      </c>
      <c r="L873" s="8"/>
      <c r="M873" s="9" t="str">
        <f t="shared" si="13"/>
        <v>AGB1503</v>
      </c>
      <c r="N873" s="9">
        <f t="shared" si="14"/>
        <v>7</v>
      </c>
      <c r="O873" s="9" t="str">
        <f t="shared" si="15"/>
        <v>K/1AGB1503</v>
      </c>
    </row>
    <row r="874" spans="1:15" ht="17.5" x14ac:dyDescent="0.55000000000000004">
      <c r="A874" s="5" t="s">
        <v>1243</v>
      </c>
      <c r="B874" s="6" t="s">
        <v>13</v>
      </c>
      <c r="C874" s="6" t="s">
        <v>255</v>
      </c>
      <c r="D874" s="12" t="s">
        <v>1248</v>
      </c>
      <c r="E874" s="6" t="s">
        <v>16</v>
      </c>
      <c r="F874" s="6" t="s">
        <v>1249</v>
      </c>
      <c r="G874" s="6" t="s">
        <v>1246</v>
      </c>
      <c r="H874" s="6">
        <v>60</v>
      </c>
      <c r="I874" s="6" t="s">
        <v>1250</v>
      </c>
      <c r="J874" s="6">
        <v>2</v>
      </c>
      <c r="K874" s="7" t="str">
        <f t="shared" si="12"/>
        <v>H351</v>
      </c>
      <c r="L874" s="8"/>
      <c r="M874" s="9" t="str">
        <f t="shared" si="13"/>
        <v>AGB1622</v>
      </c>
      <c r="N874" s="9">
        <f t="shared" si="14"/>
        <v>7</v>
      </c>
      <c r="O874" s="9" t="str">
        <f t="shared" si="15"/>
        <v>K/1AGB1622</v>
      </c>
    </row>
    <row r="875" spans="1:15" ht="17.5" x14ac:dyDescent="0.55000000000000004">
      <c r="A875" s="10" t="s">
        <v>1243</v>
      </c>
      <c r="B875" s="11" t="s">
        <v>31</v>
      </c>
      <c r="C875" s="11" t="s">
        <v>53</v>
      </c>
      <c r="D875" s="13" t="s">
        <v>1251</v>
      </c>
      <c r="E875" s="11" t="s">
        <v>16</v>
      </c>
      <c r="F875" s="11" t="s">
        <v>1245</v>
      </c>
      <c r="G875" s="11" t="s">
        <v>1246</v>
      </c>
      <c r="H875" s="11">
        <v>60</v>
      </c>
      <c r="I875" s="11" t="s">
        <v>1250</v>
      </c>
      <c r="J875" s="11">
        <v>2</v>
      </c>
      <c r="K875" s="7" t="str">
        <f t="shared" si="12"/>
        <v>H351</v>
      </c>
      <c r="L875" s="8"/>
      <c r="M875" s="9" t="str">
        <f t="shared" si="13"/>
        <v>AGB1504</v>
      </c>
      <c r="N875" s="9">
        <f t="shared" si="14"/>
        <v>7</v>
      </c>
      <c r="O875" s="9" t="str">
        <f t="shared" si="15"/>
        <v>K/1AGB1504</v>
      </c>
    </row>
    <row r="876" spans="1:15" ht="17.5" x14ac:dyDescent="0.55000000000000004">
      <c r="A876" s="5" t="s">
        <v>1243</v>
      </c>
      <c r="B876" s="6" t="s">
        <v>31</v>
      </c>
      <c r="C876" s="6" t="s">
        <v>53</v>
      </c>
      <c r="D876" s="12" t="s">
        <v>1252</v>
      </c>
      <c r="E876" s="6" t="s">
        <v>155</v>
      </c>
      <c r="F876" s="6" t="s">
        <v>1253</v>
      </c>
      <c r="G876" s="6" t="s">
        <v>1254</v>
      </c>
      <c r="H876" s="6">
        <v>20</v>
      </c>
      <c r="I876" s="6" t="s">
        <v>1250</v>
      </c>
      <c r="J876" s="6">
        <v>2</v>
      </c>
      <c r="K876" s="7" t="str">
        <f t="shared" si="12"/>
        <v>H351</v>
      </c>
      <c r="L876" s="8"/>
      <c r="M876" s="9" t="str">
        <f t="shared" si="13"/>
        <v>AGB1517</v>
      </c>
      <c r="N876" s="9">
        <f t="shared" si="14"/>
        <v>7</v>
      </c>
      <c r="O876" s="9" t="str">
        <f t="shared" si="15"/>
        <v>K/2AGB1517</v>
      </c>
    </row>
    <row r="877" spans="1:15" ht="17.5" x14ac:dyDescent="0.55000000000000004">
      <c r="A877" s="10" t="s">
        <v>1243</v>
      </c>
      <c r="B877" s="11" t="s">
        <v>31</v>
      </c>
      <c r="C877" s="11" t="s">
        <v>255</v>
      </c>
      <c r="D877" s="13" t="s">
        <v>1255</v>
      </c>
      <c r="E877" s="11" t="s">
        <v>16</v>
      </c>
      <c r="F877" s="11" t="s">
        <v>1256</v>
      </c>
      <c r="G877" s="11" t="s">
        <v>1254</v>
      </c>
      <c r="H877" s="11">
        <v>20</v>
      </c>
      <c r="I877" s="11" t="s">
        <v>1250</v>
      </c>
      <c r="J877" s="11">
        <v>2</v>
      </c>
      <c r="K877" s="7" t="str">
        <f t="shared" si="12"/>
        <v>H351</v>
      </c>
      <c r="L877" s="8"/>
      <c r="M877" s="9" t="str">
        <f t="shared" si="13"/>
        <v>AGB1635</v>
      </c>
      <c r="N877" s="9">
        <f t="shared" si="14"/>
        <v>7</v>
      </c>
      <c r="O877" s="9" t="str">
        <f t="shared" si="15"/>
        <v>K/1AGB1635</v>
      </c>
    </row>
    <row r="878" spans="1:15" ht="17.5" x14ac:dyDescent="0.55000000000000004">
      <c r="A878" s="5" t="s">
        <v>1243</v>
      </c>
      <c r="B878" s="6" t="s">
        <v>31</v>
      </c>
      <c r="C878" s="6" t="s">
        <v>28</v>
      </c>
      <c r="D878" s="12" t="s">
        <v>1257</v>
      </c>
      <c r="E878" s="6" t="s">
        <v>16</v>
      </c>
      <c r="F878" s="6"/>
      <c r="G878" s="6" t="s">
        <v>1246</v>
      </c>
      <c r="H878" s="6">
        <v>60</v>
      </c>
      <c r="I878" s="6" t="s">
        <v>1250</v>
      </c>
      <c r="J878" s="6">
        <v>2</v>
      </c>
      <c r="K878" s="7" t="str">
        <f t="shared" si="12"/>
        <v>H351</v>
      </c>
      <c r="L878" s="8"/>
      <c r="M878" s="9" t="str">
        <f t="shared" si="13"/>
        <v>AGB1615</v>
      </c>
      <c r="N878" s="9">
        <f t="shared" si="14"/>
        <v>7</v>
      </c>
      <c r="O878" s="9" t="str">
        <f t="shared" si="15"/>
        <v>K/1AGB1615</v>
      </c>
    </row>
    <row r="879" spans="1:15" ht="17.5" x14ac:dyDescent="0.55000000000000004">
      <c r="A879" s="10" t="s">
        <v>1243</v>
      </c>
      <c r="B879" s="11" t="s">
        <v>41</v>
      </c>
      <c r="C879" s="11" t="s">
        <v>821</v>
      </c>
      <c r="D879" s="13" t="s">
        <v>1258</v>
      </c>
      <c r="E879" s="11" t="s">
        <v>16</v>
      </c>
      <c r="F879" s="11" t="s">
        <v>1256</v>
      </c>
      <c r="G879" s="11" t="s">
        <v>17</v>
      </c>
      <c r="H879" s="11">
        <v>0</v>
      </c>
      <c r="I879" s="11" t="s">
        <v>1250</v>
      </c>
      <c r="J879" s="11">
        <v>2</v>
      </c>
      <c r="K879" s="7" t="str">
        <f t="shared" si="12"/>
        <v>H351</v>
      </c>
      <c r="L879" s="8"/>
      <c r="M879" s="9" t="str">
        <f t="shared" si="13"/>
        <v>AGB1612</v>
      </c>
      <c r="N879" s="9">
        <f t="shared" si="14"/>
        <v>7</v>
      </c>
      <c r="O879" s="9" t="str">
        <f t="shared" si="15"/>
        <v>K/1AGB1612</v>
      </c>
    </row>
    <row r="880" spans="1:15" ht="17.5" x14ac:dyDescent="0.55000000000000004">
      <c r="A880" s="5" t="s">
        <v>1243</v>
      </c>
      <c r="B880" s="6" t="s">
        <v>41</v>
      </c>
      <c r="C880" s="6" t="s">
        <v>64</v>
      </c>
      <c r="D880" s="12" t="s">
        <v>1259</v>
      </c>
      <c r="E880" s="6" t="s">
        <v>16</v>
      </c>
      <c r="F880" s="6" t="s">
        <v>1260</v>
      </c>
      <c r="G880" s="6" t="s">
        <v>1246</v>
      </c>
      <c r="H880" s="6">
        <v>60</v>
      </c>
      <c r="I880" s="6" t="s">
        <v>1250</v>
      </c>
      <c r="J880" s="6">
        <v>2</v>
      </c>
      <c r="K880" s="7" t="str">
        <f t="shared" si="12"/>
        <v>H351</v>
      </c>
      <c r="L880" s="8"/>
      <c r="M880" s="9" t="str">
        <f t="shared" si="13"/>
        <v>AGB1523</v>
      </c>
      <c r="N880" s="9">
        <f t="shared" si="14"/>
        <v>7</v>
      </c>
      <c r="O880" s="9" t="str">
        <f t="shared" si="15"/>
        <v>K/1AGB1523</v>
      </c>
    </row>
    <row r="881" spans="1:15" ht="17.5" x14ac:dyDescent="0.55000000000000004">
      <c r="A881" s="10" t="s">
        <v>1243</v>
      </c>
      <c r="B881" s="11" t="s">
        <v>41</v>
      </c>
      <c r="C881" s="11" t="s">
        <v>101</v>
      </c>
      <c r="D881" s="13" t="s">
        <v>1259</v>
      </c>
      <c r="E881" s="11" t="s">
        <v>155</v>
      </c>
      <c r="F881" s="11" t="s">
        <v>1260</v>
      </c>
      <c r="G881" s="11" t="s">
        <v>1246</v>
      </c>
      <c r="H881" s="11">
        <v>60</v>
      </c>
      <c r="I881" s="11" t="s">
        <v>1250</v>
      </c>
      <c r="J881" s="11">
        <v>2</v>
      </c>
      <c r="K881" s="7" t="str">
        <f t="shared" si="12"/>
        <v>H351</v>
      </c>
      <c r="L881" s="8"/>
      <c r="M881" s="9" t="str">
        <f t="shared" si="13"/>
        <v>AGB1523</v>
      </c>
      <c r="N881" s="9">
        <f t="shared" si="14"/>
        <v>7</v>
      </c>
      <c r="O881" s="9" t="str">
        <f t="shared" si="15"/>
        <v>K/2AGB1523</v>
      </c>
    </row>
    <row r="882" spans="1:15" ht="17.5" x14ac:dyDescent="0.55000000000000004">
      <c r="A882" s="5" t="s">
        <v>1243</v>
      </c>
      <c r="B882" s="6" t="s">
        <v>47</v>
      </c>
      <c r="C882" s="6" t="s">
        <v>53</v>
      </c>
      <c r="D882" s="12" t="s">
        <v>1251</v>
      </c>
      <c r="E882" s="6" t="s">
        <v>155</v>
      </c>
      <c r="F882" s="6" t="s">
        <v>1245</v>
      </c>
      <c r="G882" s="6" t="s">
        <v>1246</v>
      </c>
      <c r="H882" s="6">
        <v>60</v>
      </c>
      <c r="I882" s="6" t="s">
        <v>1250</v>
      </c>
      <c r="J882" s="6">
        <v>2</v>
      </c>
      <c r="K882" s="7" t="str">
        <f t="shared" si="12"/>
        <v>H351</v>
      </c>
      <c r="L882" s="8"/>
      <c r="M882" s="9" t="str">
        <f t="shared" si="13"/>
        <v>AGB1504</v>
      </c>
      <c r="N882" s="9">
        <f t="shared" si="14"/>
        <v>7</v>
      </c>
      <c r="O882" s="9" t="str">
        <f t="shared" si="15"/>
        <v>K/2AGB1504</v>
      </c>
    </row>
    <row r="883" spans="1:15" ht="17.5" x14ac:dyDescent="0.55000000000000004">
      <c r="A883" s="10" t="s">
        <v>1243</v>
      </c>
      <c r="B883" s="11" t="s">
        <v>47</v>
      </c>
      <c r="C883" s="11" t="s">
        <v>53</v>
      </c>
      <c r="D883" s="13" t="s">
        <v>1252</v>
      </c>
      <c r="E883" s="11" t="s">
        <v>16</v>
      </c>
      <c r="F883" s="11" t="s">
        <v>1253</v>
      </c>
      <c r="G883" s="11" t="s">
        <v>1254</v>
      </c>
      <c r="H883" s="11">
        <v>20</v>
      </c>
      <c r="I883" s="11" t="s">
        <v>1250</v>
      </c>
      <c r="J883" s="11">
        <v>2</v>
      </c>
      <c r="K883" s="7" t="str">
        <f t="shared" si="12"/>
        <v>H351</v>
      </c>
      <c r="L883" s="8"/>
      <c r="M883" s="9" t="str">
        <f t="shared" si="13"/>
        <v>AGB1517</v>
      </c>
      <c r="N883" s="9">
        <f t="shared" si="14"/>
        <v>7</v>
      </c>
      <c r="O883" s="9" t="str">
        <f t="shared" si="15"/>
        <v>K/1AGB1517</v>
      </c>
    </row>
    <row r="884" spans="1:15" ht="17.5" x14ac:dyDescent="0.55000000000000004">
      <c r="A884" s="5" t="s">
        <v>1243</v>
      </c>
      <c r="B884" s="6" t="s">
        <v>47</v>
      </c>
      <c r="C884" s="6" t="s">
        <v>255</v>
      </c>
      <c r="D884" s="12" t="s">
        <v>1261</v>
      </c>
      <c r="E884" s="6" t="s">
        <v>16</v>
      </c>
      <c r="F884" s="6" t="s">
        <v>1262</v>
      </c>
      <c r="G884" s="6" t="s">
        <v>1246</v>
      </c>
      <c r="H884" s="6">
        <v>60</v>
      </c>
      <c r="I884" s="6" t="s">
        <v>1250</v>
      </c>
      <c r="J884" s="6">
        <v>2</v>
      </c>
      <c r="K884" s="7" t="str">
        <f t="shared" si="12"/>
        <v>H351</v>
      </c>
      <c r="L884" s="8"/>
      <c r="M884" s="9" t="str">
        <f t="shared" si="13"/>
        <v>AGB1632</v>
      </c>
      <c r="N884" s="9">
        <f t="shared" si="14"/>
        <v>7</v>
      </c>
      <c r="O884" s="9" t="str">
        <f t="shared" si="15"/>
        <v>K/1AGB1632</v>
      </c>
    </row>
    <row r="885" spans="1:15" ht="17.5" x14ac:dyDescent="0.55000000000000004">
      <c r="A885" s="10" t="s">
        <v>1243</v>
      </c>
      <c r="B885" s="11" t="s">
        <v>47</v>
      </c>
      <c r="C885" s="11" t="s">
        <v>28</v>
      </c>
      <c r="D885" s="13" t="s">
        <v>1263</v>
      </c>
      <c r="E885" s="11" t="s">
        <v>16</v>
      </c>
      <c r="F885" s="11" t="s">
        <v>1264</v>
      </c>
      <c r="G885" s="11" t="s">
        <v>1246</v>
      </c>
      <c r="H885" s="11">
        <v>60</v>
      </c>
      <c r="I885" s="11" t="s">
        <v>1250</v>
      </c>
      <c r="J885" s="11">
        <v>2</v>
      </c>
      <c r="K885" s="7" t="str">
        <f t="shared" si="12"/>
        <v>H351</v>
      </c>
      <c r="L885" s="8"/>
      <c r="M885" s="9" t="str">
        <f t="shared" si="13"/>
        <v>AGB1639</v>
      </c>
      <c r="N885" s="9">
        <f t="shared" si="14"/>
        <v>7</v>
      </c>
      <c r="O885" s="9" t="str">
        <f t="shared" si="15"/>
        <v>K/1AGB1639</v>
      </c>
    </row>
    <row r="886" spans="1:15" ht="17.5" x14ac:dyDescent="0.55000000000000004">
      <c r="A886" s="5" t="s">
        <v>1243</v>
      </c>
      <c r="B886" s="6" t="s">
        <v>52</v>
      </c>
      <c r="C886" s="6" t="s">
        <v>53</v>
      </c>
      <c r="D886" s="12" t="s">
        <v>1265</v>
      </c>
      <c r="E886" s="6" t="s">
        <v>16</v>
      </c>
      <c r="F886" s="6"/>
      <c r="G886" s="6" t="s">
        <v>17</v>
      </c>
      <c r="H886" s="6">
        <v>0</v>
      </c>
      <c r="I886" s="6" t="s">
        <v>1250</v>
      </c>
      <c r="J886" s="6">
        <v>2</v>
      </c>
      <c r="K886" s="7" t="str">
        <f t="shared" si="12"/>
        <v>H351</v>
      </c>
      <c r="L886" s="8"/>
      <c r="M886" s="9" t="str">
        <f t="shared" si="13"/>
        <v>AGB1616</v>
      </c>
      <c r="N886" s="9">
        <f t="shared" si="14"/>
        <v>7</v>
      </c>
      <c r="O886" s="9" t="str">
        <f t="shared" si="15"/>
        <v>K/1AGB1616</v>
      </c>
    </row>
    <row r="887" spans="1:15" ht="17.5" x14ac:dyDescent="0.55000000000000004">
      <c r="A887" s="10" t="s">
        <v>1243</v>
      </c>
      <c r="B887" s="11" t="s">
        <v>52</v>
      </c>
      <c r="C887" s="11" t="s">
        <v>260</v>
      </c>
      <c r="D887" s="13" t="s">
        <v>1266</v>
      </c>
      <c r="E887" s="11" t="s">
        <v>16</v>
      </c>
      <c r="F887" s="11" t="s">
        <v>1267</v>
      </c>
      <c r="G887" s="11" t="s">
        <v>1246</v>
      </c>
      <c r="H887" s="11">
        <v>60</v>
      </c>
      <c r="I887" s="11" t="s">
        <v>1247</v>
      </c>
      <c r="J887" s="11">
        <v>2</v>
      </c>
      <c r="K887" s="7" t="str">
        <f t="shared" si="12"/>
        <v>H351</v>
      </c>
      <c r="L887" s="8"/>
      <c r="M887" s="9" t="str">
        <f t="shared" si="13"/>
        <v>AGB1613</v>
      </c>
      <c r="N887" s="9">
        <f t="shared" si="14"/>
        <v>7</v>
      </c>
      <c r="O887" s="9" t="str">
        <f t="shared" si="15"/>
        <v>K/1AGB1613</v>
      </c>
    </row>
    <row r="888" spans="1:15" ht="17.5" x14ac:dyDescent="0.55000000000000004">
      <c r="A888" s="5" t="s">
        <v>1268</v>
      </c>
      <c r="B888" s="6" t="s">
        <v>31</v>
      </c>
      <c r="C888" s="6" t="s">
        <v>276</v>
      </c>
      <c r="D888" s="5" t="s">
        <v>1269</v>
      </c>
      <c r="E888" s="6" t="s">
        <v>16</v>
      </c>
      <c r="F888" s="6" t="s">
        <v>79</v>
      </c>
      <c r="G888" s="6" t="s">
        <v>17</v>
      </c>
      <c r="H888" s="6">
        <v>0</v>
      </c>
      <c r="I888" s="6" t="s">
        <v>1270</v>
      </c>
      <c r="J888" s="6">
        <v>2</v>
      </c>
      <c r="K888" s="7" t="str">
        <f t="shared" si="12"/>
        <v>H451</v>
      </c>
      <c r="L888" s="8"/>
      <c r="M888" s="9" t="str">
        <f t="shared" si="13"/>
        <v>ESL1635</v>
      </c>
      <c r="N888" s="9">
        <f t="shared" si="14"/>
        <v>7</v>
      </c>
      <c r="O888" s="9" t="str">
        <f t="shared" si="15"/>
        <v>K/1ESL1635</v>
      </c>
    </row>
    <row r="889" spans="1:15" ht="17.5" x14ac:dyDescent="0.55000000000000004">
      <c r="A889" s="10" t="s">
        <v>1268</v>
      </c>
      <c r="B889" s="11" t="s">
        <v>41</v>
      </c>
      <c r="C889" s="11" t="s">
        <v>53</v>
      </c>
      <c r="D889" s="10" t="s">
        <v>1271</v>
      </c>
      <c r="E889" s="11" t="s">
        <v>16</v>
      </c>
      <c r="F889" s="11" t="s">
        <v>79</v>
      </c>
      <c r="G889" s="11" t="s">
        <v>17</v>
      </c>
      <c r="H889" s="11">
        <v>0</v>
      </c>
      <c r="I889" s="11" t="s">
        <v>1270</v>
      </c>
      <c r="J889" s="11">
        <v>2</v>
      </c>
      <c r="K889" s="7" t="str">
        <f t="shared" si="12"/>
        <v>H451</v>
      </c>
      <c r="L889" s="8"/>
      <c r="M889" s="9" t="str">
        <f t="shared" si="13"/>
        <v>ESL1626</v>
      </c>
      <c r="N889" s="9">
        <f t="shared" si="14"/>
        <v>7</v>
      </c>
      <c r="O889" s="9" t="str">
        <f t="shared" si="15"/>
        <v>K/1ESL1626</v>
      </c>
    </row>
    <row r="890" spans="1:15" ht="17.5" x14ac:dyDescent="0.55000000000000004">
      <c r="A890" s="5" t="s">
        <v>1268</v>
      </c>
      <c r="B890" s="6" t="s">
        <v>47</v>
      </c>
      <c r="C890" s="6" t="s">
        <v>276</v>
      </c>
      <c r="D890" s="5" t="s">
        <v>1272</v>
      </c>
      <c r="E890" s="6" t="s">
        <v>16</v>
      </c>
      <c r="F890" s="6" t="s">
        <v>1195</v>
      </c>
      <c r="G890" s="6" t="s">
        <v>17</v>
      </c>
      <c r="H890" s="6">
        <v>0</v>
      </c>
      <c r="I890" s="6" t="s">
        <v>1270</v>
      </c>
      <c r="J890" s="6">
        <v>2</v>
      </c>
      <c r="K890" s="7" t="str">
        <f t="shared" si="12"/>
        <v>H451</v>
      </c>
      <c r="L890" s="8"/>
      <c r="M890" s="9" t="str">
        <f t="shared" si="13"/>
        <v>ESL1627</v>
      </c>
      <c r="N890" s="9">
        <f t="shared" si="14"/>
        <v>7</v>
      </c>
      <c r="O890" s="9" t="str">
        <f t="shared" si="15"/>
        <v>K/1ESL1627</v>
      </c>
    </row>
    <row r="891" spans="1:15" ht="17.5" x14ac:dyDescent="0.55000000000000004">
      <c r="A891" s="10" t="s">
        <v>1273</v>
      </c>
      <c r="B891" s="11" t="s">
        <v>31</v>
      </c>
      <c r="C891" s="11" t="s">
        <v>289</v>
      </c>
      <c r="D891" s="13" t="s">
        <v>1274</v>
      </c>
      <c r="E891" s="11" t="s">
        <v>155</v>
      </c>
      <c r="F891" s="11" t="s">
        <v>1275</v>
      </c>
      <c r="G891" s="11" t="s">
        <v>17</v>
      </c>
      <c r="H891" s="11">
        <v>0</v>
      </c>
      <c r="I891" s="11" t="s">
        <v>1276</v>
      </c>
      <c r="J891" s="11">
        <v>2</v>
      </c>
      <c r="K891" s="7" t="str">
        <f t="shared" si="12"/>
        <v>H453</v>
      </c>
      <c r="L891" s="8"/>
      <c r="M891" s="9" t="str">
        <f t="shared" si="13"/>
        <v>EKO1608</v>
      </c>
      <c r="N891" s="9">
        <f t="shared" si="14"/>
        <v>7</v>
      </c>
      <c r="O891" s="9" t="str">
        <f t="shared" si="15"/>
        <v>K/2EKO1608</v>
      </c>
    </row>
    <row r="892" spans="1:15" ht="17.5" x14ac:dyDescent="0.55000000000000004">
      <c r="A892" s="5" t="s">
        <v>1273</v>
      </c>
      <c r="B892" s="6" t="s">
        <v>31</v>
      </c>
      <c r="C892" s="6" t="s">
        <v>259</v>
      </c>
      <c r="D892" s="12" t="s">
        <v>1277</v>
      </c>
      <c r="E892" s="6" t="s">
        <v>16</v>
      </c>
      <c r="F892" s="6" t="s">
        <v>1245</v>
      </c>
      <c r="G892" s="6" t="s">
        <v>17</v>
      </c>
      <c r="H892" s="6">
        <v>0</v>
      </c>
      <c r="I892" s="6" t="s">
        <v>1276</v>
      </c>
      <c r="J892" s="6">
        <v>2</v>
      </c>
      <c r="K892" s="7" t="str">
        <f t="shared" si="12"/>
        <v>H453</v>
      </c>
      <c r="L892" s="8"/>
      <c r="M892" s="9" t="str">
        <f t="shared" si="13"/>
        <v>ESL1513</v>
      </c>
      <c r="N892" s="9">
        <f t="shared" si="14"/>
        <v>7</v>
      </c>
      <c r="O892" s="9" t="str">
        <f t="shared" si="15"/>
        <v>K/1ESL1513</v>
      </c>
    </row>
    <row r="893" spans="1:15" ht="17.5" x14ac:dyDescent="0.55000000000000004">
      <c r="A893" s="10" t="s">
        <v>1273</v>
      </c>
      <c r="B893" s="11" t="s">
        <v>41</v>
      </c>
      <c r="C893" s="11" t="s">
        <v>1278</v>
      </c>
      <c r="D893" s="13" t="s">
        <v>1279</v>
      </c>
      <c r="E893" s="11" t="s">
        <v>16</v>
      </c>
      <c r="F893" s="11" t="s">
        <v>1262</v>
      </c>
      <c r="G893" s="11" t="s">
        <v>17</v>
      </c>
      <c r="H893" s="11">
        <v>0</v>
      </c>
      <c r="I893" s="11" t="s">
        <v>1276</v>
      </c>
      <c r="J893" s="11">
        <v>2</v>
      </c>
      <c r="K893" s="7" t="str">
        <f t="shared" si="12"/>
        <v>H453</v>
      </c>
      <c r="L893" s="8"/>
      <c r="M893" s="9" t="str">
        <f t="shared" si="13"/>
        <v>ESL1512</v>
      </c>
      <c r="N893" s="9">
        <f t="shared" si="14"/>
        <v>7</v>
      </c>
      <c r="O893" s="9" t="str">
        <f t="shared" si="15"/>
        <v>K/1ESL1512</v>
      </c>
    </row>
    <row r="894" spans="1:15" ht="17.5" x14ac:dyDescent="0.55000000000000004">
      <c r="A894" s="5" t="s">
        <v>1273</v>
      </c>
      <c r="B894" s="6" t="s">
        <v>41</v>
      </c>
      <c r="C894" s="6" t="s">
        <v>259</v>
      </c>
      <c r="D894" s="12" t="s">
        <v>1280</v>
      </c>
      <c r="E894" s="6" t="s">
        <v>16</v>
      </c>
      <c r="F894" s="6"/>
      <c r="G894" s="6" t="s">
        <v>17</v>
      </c>
      <c r="H894" s="6">
        <v>0</v>
      </c>
      <c r="I894" s="6" t="s">
        <v>1276</v>
      </c>
      <c r="J894" s="6">
        <v>2</v>
      </c>
      <c r="K894" s="7" t="str">
        <f t="shared" si="12"/>
        <v>H453</v>
      </c>
      <c r="L894" s="8"/>
      <c r="M894" s="9" t="str">
        <f t="shared" si="13"/>
        <v>ESL1515</v>
      </c>
      <c r="N894" s="9">
        <f t="shared" si="14"/>
        <v>7</v>
      </c>
      <c r="O894" s="9" t="str">
        <f t="shared" si="15"/>
        <v>K/1ESL1515</v>
      </c>
    </row>
    <row r="895" spans="1:15" ht="17.5" x14ac:dyDescent="0.55000000000000004">
      <c r="A895" s="10" t="s">
        <v>1273</v>
      </c>
      <c r="B895" s="11" t="s">
        <v>47</v>
      </c>
      <c r="C895" s="11" t="s">
        <v>797</v>
      </c>
      <c r="D895" s="13" t="s">
        <v>1281</v>
      </c>
      <c r="E895" s="11" t="s">
        <v>16</v>
      </c>
      <c r="F895" s="11"/>
      <c r="G895" s="11" t="s">
        <v>17</v>
      </c>
      <c r="H895" s="11">
        <v>0</v>
      </c>
      <c r="I895" s="11" t="s">
        <v>1282</v>
      </c>
      <c r="J895" s="11">
        <v>2</v>
      </c>
      <c r="K895" s="7" t="str">
        <f t="shared" si="12"/>
        <v>H453</v>
      </c>
      <c r="L895" s="8"/>
      <c r="M895" s="9" t="str">
        <f t="shared" si="13"/>
        <v>ESL1518</v>
      </c>
      <c r="N895" s="9">
        <f t="shared" si="14"/>
        <v>7</v>
      </c>
      <c r="O895" s="9" t="str">
        <f t="shared" si="15"/>
        <v>K/1ESL1518</v>
      </c>
    </row>
    <row r="896" spans="1:15" ht="17.5" x14ac:dyDescent="0.55000000000000004">
      <c r="A896" s="5" t="s">
        <v>1273</v>
      </c>
      <c r="B896" s="6" t="s">
        <v>47</v>
      </c>
      <c r="C896" s="6" t="s">
        <v>36</v>
      </c>
      <c r="D896" s="12" t="s">
        <v>1283</v>
      </c>
      <c r="E896" s="6" t="s">
        <v>16</v>
      </c>
      <c r="F896" s="6" t="s">
        <v>1195</v>
      </c>
      <c r="G896" s="6" t="s">
        <v>17</v>
      </c>
      <c r="H896" s="6">
        <v>0</v>
      </c>
      <c r="I896" s="6" t="s">
        <v>1276</v>
      </c>
      <c r="J896" s="6">
        <v>2</v>
      </c>
      <c r="K896" s="7" t="str">
        <f t="shared" si="12"/>
        <v>H453</v>
      </c>
      <c r="L896" s="8"/>
      <c r="M896" s="9" t="str">
        <f t="shared" si="13"/>
        <v>ESL1617</v>
      </c>
      <c r="N896" s="9">
        <f t="shared" si="14"/>
        <v>7</v>
      </c>
      <c r="O896" s="9" t="str">
        <f t="shared" si="15"/>
        <v>K/1ESL1617</v>
      </c>
    </row>
    <row r="897" spans="1:15" ht="17.5" x14ac:dyDescent="0.55000000000000004">
      <c r="A897" s="10" t="s">
        <v>1273</v>
      </c>
      <c r="B897" s="11" t="s">
        <v>52</v>
      </c>
      <c r="C897" s="11" t="s">
        <v>1284</v>
      </c>
      <c r="D897" s="13" t="s">
        <v>1285</v>
      </c>
      <c r="E897" s="11" t="s">
        <v>16</v>
      </c>
      <c r="F897" s="11" t="s">
        <v>1253</v>
      </c>
      <c r="G897" s="11" t="s">
        <v>17</v>
      </c>
      <c r="H897" s="11">
        <v>0</v>
      </c>
      <c r="I897" s="11" t="s">
        <v>1282</v>
      </c>
      <c r="J897" s="11">
        <v>2</v>
      </c>
      <c r="K897" s="7" t="str">
        <f t="shared" si="12"/>
        <v>H453</v>
      </c>
      <c r="L897" s="8"/>
      <c r="M897" s="9" t="str">
        <f t="shared" si="13"/>
        <v>ESL1516</v>
      </c>
      <c r="N897" s="9">
        <f t="shared" si="14"/>
        <v>7</v>
      </c>
      <c r="O897" s="9" t="str">
        <f t="shared" si="15"/>
        <v>K/1ESL1516</v>
      </c>
    </row>
    <row r="898" spans="1:15" ht="17.5" x14ac:dyDescent="0.55000000000000004">
      <c r="A898" s="5" t="s">
        <v>1286</v>
      </c>
      <c r="B898" s="6" t="s">
        <v>13</v>
      </c>
      <c r="C898" s="6" t="s">
        <v>14</v>
      </c>
      <c r="D898" s="12" t="s">
        <v>1287</v>
      </c>
      <c r="E898" s="6" t="s">
        <v>16</v>
      </c>
      <c r="F898" s="6" t="s">
        <v>360</v>
      </c>
      <c r="G898" s="6" t="s">
        <v>17</v>
      </c>
      <c r="H898" s="6">
        <v>0</v>
      </c>
      <c r="I898" s="6" t="s">
        <v>1288</v>
      </c>
      <c r="J898" s="6">
        <v>1</v>
      </c>
      <c r="K898" s="7" t="str">
        <f t="shared" si="12"/>
        <v>H454</v>
      </c>
      <c r="L898" s="8"/>
      <c r="M898" s="9" t="str">
        <f t="shared" si="13"/>
        <v>EKO1604</v>
      </c>
      <c r="N898" s="9">
        <f t="shared" si="14"/>
        <v>7</v>
      </c>
      <c r="O898" s="9" t="str">
        <f t="shared" si="15"/>
        <v>K/1EKO1604</v>
      </c>
    </row>
    <row r="899" spans="1:15" ht="17.5" x14ac:dyDescent="0.55000000000000004">
      <c r="A899" s="10" t="s">
        <v>1286</v>
      </c>
      <c r="B899" s="11" t="s">
        <v>13</v>
      </c>
      <c r="C899" s="11" t="s">
        <v>14</v>
      </c>
      <c r="D899" s="13" t="s">
        <v>1289</v>
      </c>
      <c r="E899" s="11" t="s">
        <v>16</v>
      </c>
      <c r="F899" s="11" t="s">
        <v>1290</v>
      </c>
      <c r="G899" s="11" t="s">
        <v>17</v>
      </c>
      <c r="H899" s="11">
        <v>0</v>
      </c>
      <c r="I899" s="11" t="s">
        <v>1288</v>
      </c>
      <c r="J899" s="11">
        <v>2</v>
      </c>
      <c r="K899" s="7" t="str">
        <f t="shared" si="12"/>
        <v>H454</v>
      </c>
      <c r="L899" s="8"/>
      <c r="M899" s="9" t="str">
        <f t="shared" si="13"/>
        <v>ESL1602</v>
      </c>
      <c r="N899" s="9">
        <f t="shared" si="14"/>
        <v>7</v>
      </c>
      <c r="O899" s="9" t="str">
        <f t="shared" si="15"/>
        <v>K/1ESL1602</v>
      </c>
    </row>
    <row r="900" spans="1:15" ht="17.5" x14ac:dyDescent="0.55000000000000004">
      <c r="A900" s="5" t="s">
        <v>1286</v>
      </c>
      <c r="B900" s="6" t="s">
        <v>13</v>
      </c>
      <c r="C900" s="6" t="s">
        <v>283</v>
      </c>
      <c r="D900" s="12" t="s">
        <v>1289</v>
      </c>
      <c r="E900" s="6" t="s">
        <v>50</v>
      </c>
      <c r="F900" s="6" t="s">
        <v>1290</v>
      </c>
      <c r="G900" s="6" t="s">
        <v>17</v>
      </c>
      <c r="H900" s="6">
        <v>0</v>
      </c>
      <c r="I900" s="6" t="s">
        <v>1288</v>
      </c>
      <c r="J900" s="6">
        <v>2</v>
      </c>
      <c r="K900" s="7" t="str">
        <f t="shared" si="12"/>
        <v>H454</v>
      </c>
      <c r="L900" s="8"/>
      <c r="M900" s="9" t="str">
        <f t="shared" si="13"/>
        <v>ESL1602</v>
      </c>
      <c r="N900" s="9">
        <f t="shared" si="14"/>
        <v>7</v>
      </c>
      <c r="O900" s="9" t="str">
        <f t="shared" si="15"/>
        <v>P/1ESL1602</v>
      </c>
    </row>
    <row r="901" spans="1:15" ht="17.5" x14ac:dyDescent="0.55000000000000004">
      <c r="A901" s="10" t="s">
        <v>1286</v>
      </c>
      <c r="B901" s="11" t="s">
        <v>13</v>
      </c>
      <c r="C901" s="11" t="s">
        <v>639</v>
      </c>
      <c r="D901" s="13" t="s">
        <v>1291</v>
      </c>
      <c r="E901" s="11" t="s">
        <v>16</v>
      </c>
      <c r="F901" s="11" t="s">
        <v>360</v>
      </c>
      <c r="G901" s="11" t="s">
        <v>17</v>
      </c>
      <c r="H901" s="11">
        <v>0</v>
      </c>
      <c r="I901" s="11" t="s">
        <v>1288</v>
      </c>
      <c r="J901" s="11">
        <v>1</v>
      </c>
      <c r="K901" s="7" t="str">
        <f t="shared" si="12"/>
        <v>H454</v>
      </c>
      <c r="L901" s="8"/>
      <c r="M901" s="9" t="str">
        <f t="shared" si="13"/>
        <v>EKO1509</v>
      </c>
      <c r="N901" s="9">
        <f t="shared" si="14"/>
        <v>7</v>
      </c>
      <c r="O901" s="9" t="str">
        <f t="shared" si="15"/>
        <v>K/1EKO1509</v>
      </c>
    </row>
    <row r="902" spans="1:15" ht="17.5" x14ac:dyDescent="0.55000000000000004">
      <c r="A902" s="5" t="s">
        <v>1286</v>
      </c>
      <c r="B902" s="6" t="s">
        <v>31</v>
      </c>
      <c r="C902" s="6" t="s">
        <v>19</v>
      </c>
      <c r="D902" s="12" t="s">
        <v>1292</v>
      </c>
      <c r="E902" s="6" t="s">
        <v>16</v>
      </c>
      <c r="F902" s="6" t="s">
        <v>1293</v>
      </c>
      <c r="G902" s="6" t="s">
        <v>17</v>
      </c>
      <c r="H902" s="6">
        <v>0</v>
      </c>
      <c r="I902" s="6" t="s">
        <v>1288</v>
      </c>
      <c r="J902" s="6">
        <v>1</v>
      </c>
      <c r="K902" s="7" t="str">
        <f t="shared" si="12"/>
        <v>H454</v>
      </c>
      <c r="L902" s="8"/>
      <c r="M902" s="9" t="str">
        <f t="shared" si="13"/>
        <v>ESL1651</v>
      </c>
      <c r="N902" s="9">
        <f t="shared" si="14"/>
        <v>7</v>
      </c>
      <c r="O902" s="9" t="str">
        <f t="shared" si="15"/>
        <v>K/1ESL1651</v>
      </c>
    </row>
    <row r="903" spans="1:15" ht="17.5" x14ac:dyDescent="0.55000000000000004">
      <c r="A903" s="10" t="s">
        <v>1286</v>
      </c>
      <c r="B903" s="11" t="s">
        <v>31</v>
      </c>
      <c r="C903" s="11" t="s">
        <v>281</v>
      </c>
      <c r="D903" s="13" t="s">
        <v>1292</v>
      </c>
      <c r="E903" s="11" t="s">
        <v>50</v>
      </c>
      <c r="F903" s="11" t="s">
        <v>1293</v>
      </c>
      <c r="G903" s="11" t="s">
        <v>17</v>
      </c>
      <c r="H903" s="11">
        <v>0</v>
      </c>
      <c r="I903" s="11" t="s">
        <v>1288</v>
      </c>
      <c r="J903" s="11">
        <v>1</v>
      </c>
      <c r="K903" s="7" t="str">
        <f t="shared" si="12"/>
        <v>H454</v>
      </c>
      <c r="L903" s="8"/>
      <c r="M903" s="9" t="str">
        <f t="shared" si="13"/>
        <v>ESL1651</v>
      </c>
      <c r="N903" s="9">
        <f t="shared" si="14"/>
        <v>7</v>
      </c>
      <c r="O903" s="9" t="str">
        <f t="shared" si="15"/>
        <v>P/1ESL1651</v>
      </c>
    </row>
    <row r="904" spans="1:15" ht="17.5" x14ac:dyDescent="0.55000000000000004">
      <c r="A904" s="5" t="s">
        <v>1286</v>
      </c>
      <c r="B904" s="6" t="s">
        <v>41</v>
      </c>
      <c r="C904" s="6" t="s">
        <v>19</v>
      </c>
      <c r="D904" s="12" t="s">
        <v>1294</v>
      </c>
      <c r="E904" s="6" t="s">
        <v>16</v>
      </c>
      <c r="F904" s="6" t="s">
        <v>79</v>
      </c>
      <c r="G904" s="6" t="s">
        <v>17</v>
      </c>
      <c r="H904" s="6">
        <v>0</v>
      </c>
      <c r="I904" s="6" t="s">
        <v>1288</v>
      </c>
      <c r="J904" s="6">
        <v>1</v>
      </c>
      <c r="K904" s="7" t="str">
        <f t="shared" si="12"/>
        <v>H454</v>
      </c>
      <c r="L904" s="8"/>
      <c r="M904" s="9" t="str">
        <f t="shared" si="13"/>
        <v>ESL1522</v>
      </c>
      <c r="N904" s="9">
        <f t="shared" si="14"/>
        <v>7</v>
      </c>
      <c r="O904" s="9" t="str">
        <f t="shared" si="15"/>
        <v>K/1ESL1522</v>
      </c>
    </row>
    <row r="905" spans="1:15" ht="17.5" x14ac:dyDescent="0.55000000000000004">
      <c r="A905" s="10" t="s">
        <v>1286</v>
      </c>
      <c r="B905" s="11" t="s">
        <v>41</v>
      </c>
      <c r="C905" s="11" t="s">
        <v>23</v>
      </c>
      <c r="D905" s="13" t="s">
        <v>1295</v>
      </c>
      <c r="E905" s="11" t="s">
        <v>16</v>
      </c>
      <c r="F905" s="11" t="s">
        <v>1293</v>
      </c>
      <c r="G905" s="11" t="s">
        <v>17</v>
      </c>
      <c r="H905" s="11">
        <v>0</v>
      </c>
      <c r="I905" s="11" t="s">
        <v>1288</v>
      </c>
      <c r="J905" s="11">
        <v>2</v>
      </c>
      <c r="K905" s="7" t="str">
        <f t="shared" si="12"/>
        <v>H454</v>
      </c>
      <c r="L905" s="8"/>
      <c r="M905" s="9" t="str">
        <f t="shared" si="13"/>
        <v>ESL1526</v>
      </c>
      <c r="N905" s="9">
        <f t="shared" si="14"/>
        <v>7</v>
      </c>
      <c r="O905" s="9" t="str">
        <f t="shared" si="15"/>
        <v>K/1ESL1526</v>
      </c>
    </row>
    <row r="906" spans="1:15" ht="17.5" x14ac:dyDescent="0.55000000000000004">
      <c r="A906" s="5" t="s">
        <v>1286</v>
      </c>
      <c r="B906" s="6" t="s">
        <v>41</v>
      </c>
      <c r="C906" s="6" t="s">
        <v>64</v>
      </c>
      <c r="D906" s="12" t="s">
        <v>1296</v>
      </c>
      <c r="E906" s="6" t="s">
        <v>16</v>
      </c>
      <c r="F906" s="6" t="s">
        <v>1297</v>
      </c>
      <c r="G906" s="6" t="s">
        <v>17</v>
      </c>
      <c r="H906" s="6">
        <v>0</v>
      </c>
      <c r="I906" s="6" t="s">
        <v>1288</v>
      </c>
      <c r="J906" s="6">
        <v>1</v>
      </c>
      <c r="K906" s="7" t="str">
        <f t="shared" si="12"/>
        <v>H454</v>
      </c>
      <c r="L906" s="8"/>
      <c r="M906" s="9" t="str">
        <f t="shared" si="13"/>
        <v>ESL1652</v>
      </c>
      <c r="N906" s="9">
        <f t="shared" si="14"/>
        <v>7</v>
      </c>
      <c r="O906" s="9" t="str">
        <f t="shared" si="15"/>
        <v>K/1ESL1652</v>
      </c>
    </row>
    <row r="907" spans="1:15" ht="17.5" x14ac:dyDescent="0.55000000000000004">
      <c r="A907" s="10" t="s">
        <v>1286</v>
      </c>
      <c r="B907" s="11" t="s">
        <v>41</v>
      </c>
      <c r="C907" s="11" t="s">
        <v>560</v>
      </c>
      <c r="D907" s="13" t="s">
        <v>1296</v>
      </c>
      <c r="E907" s="11" t="s">
        <v>50</v>
      </c>
      <c r="F907" s="11" t="s">
        <v>1297</v>
      </c>
      <c r="G907" s="11" t="s">
        <v>17</v>
      </c>
      <c r="H907" s="11">
        <v>0</v>
      </c>
      <c r="I907" s="11" t="s">
        <v>1288</v>
      </c>
      <c r="J907" s="11">
        <v>1</v>
      </c>
      <c r="K907" s="7" t="str">
        <f t="shared" si="12"/>
        <v>H454</v>
      </c>
      <c r="L907" s="8"/>
      <c r="M907" s="9" t="str">
        <f t="shared" si="13"/>
        <v>ESL1652</v>
      </c>
      <c r="N907" s="9">
        <f t="shared" si="14"/>
        <v>7</v>
      </c>
      <c r="O907" s="9" t="str">
        <f t="shared" si="15"/>
        <v>P/1ESL1652</v>
      </c>
    </row>
    <row r="908" spans="1:15" ht="17.5" x14ac:dyDescent="0.55000000000000004">
      <c r="A908" s="5" t="s">
        <v>1286</v>
      </c>
      <c r="B908" s="6" t="s">
        <v>47</v>
      </c>
      <c r="C908" s="6" t="s">
        <v>14</v>
      </c>
      <c r="D908" s="12" t="s">
        <v>1298</v>
      </c>
      <c r="E908" s="6" t="s">
        <v>16</v>
      </c>
      <c r="F908" s="6" t="s">
        <v>1290</v>
      </c>
      <c r="G908" s="6" t="s">
        <v>17</v>
      </c>
      <c r="H908" s="6">
        <v>0</v>
      </c>
      <c r="I908" s="6" t="s">
        <v>1288</v>
      </c>
      <c r="J908" s="6">
        <v>2</v>
      </c>
      <c r="K908" s="7" t="str">
        <f t="shared" si="12"/>
        <v>H454</v>
      </c>
      <c r="L908" s="8"/>
      <c r="M908" s="9" t="str">
        <f t="shared" si="13"/>
        <v>ESL1658</v>
      </c>
      <c r="N908" s="9">
        <f t="shared" si="14"/>
        <v>7</v>
      </c>
      <c r="O908" s="9" t="str">
        <f t="shared" si="15"/>
        <v>K/1ESL1658</v>
      </c>
    </row>
    <row r="909" spans="1:15" ht="17.5" x14ac:dyDescent="0.55000000000000004">
      <c r="A909" s="10" t="s">
        <v>1286</v>
      </c>
      <c r="B909" s="11" t="s">
        <v>47</v>
      </c>
      <c r="C909" s="11" t="s">
        <v>283</v>
      </c>
      <c r="D909" s="13" t="s">
        <v>1298</v>
      </c>
      <c r="E909" s="11" t="s">
        <v>50</v>
      </c>
      <c r="F909" s="11" t="s">
        <v>1290</v>
      </c>
      <c r="G909" s="11" t="s">
        <v>17</v>
      </c>
      <c r="H909" s="11">
        <v>0</v>
      </c>
      <c r="I909" s="11" t="s">
        <v>1288</v>
      </c>
      <c r="J909" s="11">
        <v>2</v>
      </c>
      <c r="K909" s="7" t="str">
        <f t="shared" si="12"/>
        <v>H454</v>
      </c>
      <c r="L909" s="8"/>
      <c r="M909" s="9" t="str">
        <f t="shared" si="13"/>
        <v>ESL1658</v>
      </c>
      <c r="N909" s="9">
        <f t="shared" si="14"/>
        <v>7</v>
      </c>
      <c r="O909" s="9" t="str">
        <f t="shared" si="15"/>
        <v>P/1ESL1658</v>
      </c>
    </row>
    <row r="910" spans="1:15" ht="17.5" x14ac:dyDescent="0.55000000000000004">
      <c r="A910" s="5" t="s">
        <v>1286</v>
      </c>
      <c r="B910" s="6" t="s">
        <v>52</v>
      </c>
      <c r="C910" s="6" t="s">
        <v>14</v>
      </c>
      <c r="D910" s="12" t="s">
        <v>1299</v>
      </c>
      <c r="E910" s="6" t="s">
        <v>16</v>
      </c>
      <c r="F910" s="6" t="s">
        <v>1290</v>
      </c>
      <c r="G910" s="6" t="s">
        <v>17</v>
      </c>
      <c r="H910" s="6">
        <v>0</v>
      </c>
      <c r="I910" s="6" t="s">
        <v>1288</v>
      </c>
      <c r="J910" s="6">
        <v>2</v>
      </c>
      <c r="K910" s="7" t="str">
        <f t="shared" si="12"/>
        <v>H454</v>
      </c>
      <c r="L910" s="8"/>
      <c r="M910" s="9" t="str">
        <f t="shared" si="13"/>
        <v>ESL1653</v>
      </c>
      <c r="N910" s="9">
        <f t="shared" si="14"/>
        <v>7</v>
      </c>
      <c r="O910" s="9" t="str">
        <f t="shared" si="15"/>
        <v>K/1ESL1653</v>
      </c>
    </row>
    <row r="911" spans="1:15" ht="17.5" x14ac:dyDescent="0.55000000000000004">
      <c r="A911" s="10" t="s">
        <v>1286</v>
      </c>
      <c r="B911" s="11" t="s">
        <v>52</v>
      </c>
      <c r="C911" s="11" t="s">
        <v>1300</v>
      </c>
      <c r="D911" s="13" t="s">
        <v>1299</v>
      </c>
      <c r="E911" s="11" t="s">
        <v>50</v>
      </c>
      <c r="F911" s="11" t="s">
        <v>1290</v>
      </c>
      <c r="G911" s="11" t="s">
        <v>17</v>
      </c>
      <c r="H911" s="11">
        <v>0</v>
      </c>
      <c r="I911" s="11" t="s">
        <v>1288</v>
      </c>
      <c r="J911" s="11">
        <v>2</v>
      </c>
      <c r="K911" s="7" t="str">
        <f t="shared" si="12"/>
        <v>H454</v>
      </c>
      <c r="L911" s="8"/>
      <c r="M911" s="9" t="str">
        <f t="shared" si="13"/>
        <v>ESL1653</v>
      </c>
      <c r="N911" s="9">
        <f t="shared" si="14"/>
        <v>7</v>
      </c>
      <c r="O911" s="9" t="str">
        <f t="shared" si="15"/>
        <v>P/1ESL1653</v>
      </c>
    </row>
    <row r="912" spans="1:15" ht="17.5" x14ac:dyDescent="0.55000000000000004">
      <c r="A912" s="5" t="s">
        <v>1301</v>
      </c>
      <c r="B912" s="6" t="s">
        <v>13</v>
      </c>
      <c r="C912" s="6" t="s">
        <v>14</v>
      </c>
      <c r="D912" s="12" t="s">
        <v>1302</v>
      </c>
      <c r="E912" s="6" t="s">
        <v>16</v>
      </c>
      <c r="F912" s="6" t="s">
        <v>1303</v>
      </c>
      <c r="G912" s="6" t="s">
        <v>1304</v>
      </c>
      <c r="H912" s="6">
        <v>20</v>
      </c>
      <c r="I912" s="6" t="s">
        <v>1305</v>
      </c>
      <c r="J912" s="6">
        <v>2</v>
      </c>
      <c r="K912" s="7" t="str">
        <f t="shared" si="12"/>
        <v>I154</v>
      </c>
      <c r="L912" s="8"/>
      <c r="M912" s="9" t="str">
        <f t="shared" si="13"/>
        <v>GIZ164C</v>
      </c>
      <c r="N912" s="9">
        <f t="shared" si="14"/>
        <v>7</v>
      </c>
      <c r="O912" s="9" t="str">
        <f t="shared" si="15"/>
        <v>K/1GIZ164C</v>
      </c>
    </row>
    <row r="913" spans="1:15" ht="17.5" x14ac:dyDescent="0.55000000000000004">
      <c r="A913" s="10" t="s">
        <v>1301</v>
      </c>
      <c r="B913" s="11" t="s">
        <v>13</v>
      </c>
      <c r="C913" s="11" t="s">
        <v>64</v>
      </c>
      <c r="D913" s="13" t="s">
        <v>1306</v>
      </c>
      <c r="E913" s="11" t="s">
        <v>16</v>
      </c>
      <c r="F913" s="11" t="s">
        <v>1307</v>
      </c>
      <c r="G913" s="11" t="s">
        <v>1304</v>
      </c>
      <c r="H913" s="11">
        <v>20</v>
      </c>
      <c r="I913" s="11" t="s">
        <v>1305</v>
      </c>
      <c r="J913" s="11">
        <v>2</v>
      </c>
      <c r="K913" s="7" t="str">
        <f t="shared" si="12"/>
        <v>I154</v>
      </c>
      <c r="L913" s="8"/>
      <c r="M913" s="9" t="str">
        <f t="shared" si="13"/>
        <v>GIZ152C</v>
      </c>
      <c r="N913" s="9">
        <f t="shared" si="14"/>
        <v>7</v>
      </c>
      <c r="O913" s="9" t="str">
        <f t="shared" si="15"/>
        <v>K/1GIZ152C</v>
      </c>
    </row>
    <row r="914" spans="1:15" ht="17.5" x14ac:dyDescent="0.55000000000000004">
      <c r="A914" s="5" t="s">
        <v>1301</v>
      </c>
      <c r="B914" s="6" t="s">
        <v>31</v>
      </c>
      <c r="C914" s="6" t="s">
        <v>261</v>
      </c>
      <c r="D914" s="12" t="s">
        <v>1308</v>
      </c>
      <c r="E914" s="6" t="s">
        <v>16</v>
      </c>
      <c r="F914" s="6" t="s">
        <v>1309</v>
      </c>
      <c r="G914" s="6" t="s">
        <v>1310</v>
      </c>
      <c r="H914" s="6">
        <v>20</v>
      </c>
      <c r="I914" s="6" t="s">
        <v>1305</v>
      </c>
      <c r="J914" s="6">
        <v>2</v>
      </c>
      <c r="K914" s="7" t="str">
        <f t="shared" si="12"/>
        <v>I154</v>
      </c>
      <c r="L914" s="8"/>
      <c r="M914" s="9" t="str">
        <f t="shared" si="13"/>
        <v>GIZ154A</v>
      </c>
      <c r="N914" s="9">
        <f t="shared" si="14"/>
        <v>7</v>
      </c>
      <c r="O914" s="9" t="str">
        <f t="shared" si="15"/>
        <v>K/1GIZ154A</v>
      </c>
    </row>
    <row r="915" spans="1:15" ht="17.5" x14ac:dyDescent="0.55000000000000004">
      <c r="A915" s="10" t="s">
        <v>1301</v>
      </c>
      <c r="B915" s="11" t="s">
        <v>31</v>
      </c>
      <c r="C915" s="11" t="s">
        <v>423</v>
      </c>
      <c r="D915" s="13" t="s">
        <v>1308</v>
      </c>
      <c r="E915" s="11" t="s">
        <v>50</v>
      </c>
      <c r="F915" s="11" t="s">
        <v>1309</v>
      </c>
      <c r="G915" s="11" t="s">
        <v>1304</v>
      </c>
      <c r="H915" s="11">
        <v>20</v>
      </c>
      <c r="I915" s="11" t="s">
        <v>1305</v>
      </c>
      <c r="J915" s="11">
        <v>2</v>
      </c>
      <c r="K915" s="7" t="str">
        <f t="shared" si="12"/>
        <v>I154</v>
      </c>
      <c r="L915" s="8"/>
      <c r="M915" s="9" t="str">
        <f t="shared" si="13"/>
        <v>GIZ154A</v>
      </c>
      <c r="N915" s="9">
        <f t="shared" si="14"/>
        <v>7</v>
      </c>
      <c r="O915" s="9" t="str">
        <f t="shared" si="15"/>
        <v>P/1GIZ154A</v>
      </c>
    </row>
    <row r="916" spans="1:15" ht="17.5" x14ac:dyDescent="0.55000000000000004">
      <c r="A916" s="5" t="s">
        <v>1301</v>
      </c>
      <c r="B916" s="6" t="s">
        <v>31</v>
      </c>
      <c r="C916" s="6" t="s">
        <v>64</v>
      </c>
      <c r="D916" s="12" t="s">
        <v>1311</v>
      </c>
      <c r="E916" s="6" t="s">
        <v>16</v>
      </c>
      <c r="F916" s="6" t="s">
        <v>1312</v>
      </c>
      <c r="G916" s="6" t="s">
        <v>1304</v>
      </c>
      <c r="H916" s="6">
        <v>20</v>
      </c>
      <c r="I916" s="6" t="s">
        <v>1305</v>
      </c>
      <c r="J916" s="6">
        <v>2</v>
      </c>
      <c r="K916" s="7" t="str">
        <f t="shared" si="12"/>
        <v>I154</v>
      </c>
      <c r="L916" s="8"/>
      <c r="M916" s="9" t="str">
        <f t="shared" si="13"/>
        <v>GIZ162A</v>
      </c>
      <c r="N916" s="9">
        <f t="shared" si="14"/>
        <v>7</v>
      </c>
      <c r="O916" s="9" t="str">
        <f t="shared" si="15"/>
        <v>K/1GIZ162A</v>
      </c>
    </row>
    <row r="917" spans="1:15" ht="17.5" x14ac:dyDescent="0.55000000000000004">
      <c r="A917" s="10" t="s">
        <v>1301</v>
      </c>
      <c r="B917" s="11" t="s">
        <v>41</v>
      </c>
      <c r="C917" s="11" t="s">
        <v>642</v>
      </c>
      <c r="D917" s="13" t="s">
        <v>1313</v>
      </c>
      <c r="E917" s="11" t="s">
        <v>16</v>
      </c>
      <c r="F917" s="11" t="s">
        <v>1314</v>
      </c>
      <c r="G917" s="11" t="s">
        <v>1304</v>
      </c>
      <c r="H917" s="11">
        <v>20</v>
      </c>
      <c r="I917" s="11" t="s">
        <v>1305</v>
      </c>
      <c r="J917" s="11">
        <v>2</v>
      </c>
      <c r="K917" s="7" t="str">
        <f t="shared" si="12"/>
        <v>I154</v>
      </c>
      <c r="L917" s="8"/>
      <c r="M917" s="9" t="str">
        <f t="shared" si="13"/>
        <v>GIZ160A</v>
      </c>
      <c r="N917" s="9">
        <f t="shared" si="14"/>
        <v>7</v>
      </c>
      <c r="O917" s="9" t="str">
        <f t="shared" si="15"/>
        <v>K/1GIZ160A</v>
      </c>
    </row>
    <row r="918" spans="1:15" ht="17.5" x14ac:dyDescent="0.55000000000000004">
      <c r="A918" s="5" t="s">
        <v>1301</v>
      </c>
      <c r="B918" s="6" t="s">
        <v>41</v>
      </c>
      <c r="C918" s="6" t="s">
        <v>49</v>
      </c>
      <c r="D918" s="12" t="s">
        <v>1313</v>
      </c>
      <c r="E918" s="6" t="s">
        <v>50</v>
      </c>
      <c r="F918" s="6" t="s">
        <v>1314</v>
      </c>
      <c r="G918" s="6" t="s">
        <v>1304</v>
      </c>
      <c r="H918" s="6">
        <v>20</v>
      </c>
      <c r="I918" s="6" t="s">
        <v>1305</v>
      </c>
      <c r="J918" s="6">
        <v>2</v>
      </c>
      <c r="K918" s="7" t="str">
        <f t="shared" si="12"/>
        <v>I154</v>
      </c>
      <c r="L918" s="8"/>
      <c r="M918" s="9" t="str">
        <f t="shared" si="13"/>
        <v>GIZ160A</v>
      </c>
      <c r="N918" s="9">
        <f t="shared" si="14"/>
        <v>7</v>
      </c>
      <c r="O918" s="9" t="str">
        <f t="shared" si="15"/>
        <v>P/1GIZ160A</v>
      </c>
    </row>
    <row r="919" spans="1:15" ht="17.5" x14ac:dyDescent="0.55000000000000004">
      <c r="A919" s="10" t="s">
        <v>1301</v>
      </c>
      <c r="B919" s="11" t="s">
        <v>47</v>
      </c>
      <c r="C919" s="11" t="s">
        <v>268</v>
      </c>
      <c r="D919" s="13" t="s">
        <v>1315</v>
      </c>
      <c r="E919" s="11" t="s">
        <v>16</v>
      </c>
      <c r="F919" s="11" t="s">
        <v>1316</v>
      </c>
      <c r="G919" s="11" t="s">
        <v>1304</v>
      </c>
      <c r="H919" s="11">
        <v>20</v>
      </c>
      <c r="I919" s="11" t="s">
        <v>1305</v>
      </c>
      <c r="J919" s="11">
        <v>2</v>
      </c>
      <c r="K919" s="7" t="str">
        <f t="shared" si="12"/>
        <v>I154</v>
      </c>
      <c r="L919" s="8"/>
      <c r="M919" s="9" t="str">
        <f t="shared" si="13"/>
        <v>GIZ162B</v>
      </c>
      <c r="N919" s="9">
        <f t="shared" si="14"/>
        <v>7</v>
      </c>
      <c r="O919" s="9" t="str">
        <f t="shared" si="15"/>
        <v>K/1GIZ162B</v>
      </c>
    </row>
    <row r="920" spans="1:15" ht="17.5" x14ac:dyDescent="0.55000000000000004">
      <c r="A920" s="5" t="s">
        <v>1301</v>
      </c>
      <c r="B920" s="6" t="s">
        <v>47</v>
      </c>
      <c r="C920" s="6" t="s">
        <v>147</v>
      </c>
      <c r="D920" s="12" t="s">
        <v>1315</v>
      </c>
      <c r="E920" s="6" t="s">
        <v>50</v>
      </c>
      <c r="F920" s="6" t="s">
        <v>1316</v>
      </c>
      <c r="G920" s="6" t="s">
        <v>1304</v>
      </c>
      <c r="H920" s="6">
        <v>20</v>
      </c>
      <c r="I920" s="6" t="s">
        <v>1305</v>
      </c>
      <c r="J920" s="6">
        <v>2</v>
      </c>
      <c r="K920" s="7" t="str">
        <f t="shared" si="12"/>
        <v>I154</v>
      </c>
      <c r="L920" s="8"/>
      <c r="M920" s="9" t="str">
        <f t="shared" si="13"/>
        <v>GIZ162B</v>
      </c>
      <c r="N920" s="9">
        <f t="shared" si="14"/>
        <v>7</v>
      </c>
      <c r="O920" s="9" t="str">
        <f t="shared" si="15"/>
        <v>P/1GIZ162B</v>
      </c>
    </row>
    <row r="921" spans="1:15" ht="17.5" x14ac:dyDescent="0.55000000000000004">
      <c r="A921" s="10" t="s">
        <v>1301</v>
      </c>
      <c r="B921" s="11" t="s">
        <v>52</v>
      </c>
      <c r="C921" s="11" t="s">
        <v>1317</v>
      </c>
      <c r="D921" s="13" t="s">
        <v>1318</v>
      </c>
      <c r="E921" s="11" t="s">
        <v>16</v>
      </c>
      <c r="F921" s="11" t="s">
        <v>1319</v>
      </c>
      <c r="G921" s="11" t="s">
        <v>1304</v>
      </c>
      <c r="H921" s="11">
        <v>20</v>
      </c>
      <c r="I921" s="11" t="s">
        <v>1305</v>
      </c>
      <c r="J921" s="11">
        <v>2</v>
      </c>
      <c r="K921" s="7" t="str">
        <f t="shared" si="12"/>
        <v>I154</v>
      </c>
      <c r="L921" s="8"/>
      <c r="M921" s="9" t="str">
        <f t="shared" si="13"/>
        <v>GIZ163A</v>
      </c>
      <c r="N921" s="9">
        <f t="shared" si="14"/>
        <v>7</v>
      </c>
      <c r="O921" s="9" t="str">
        <f t="shared" si="15"/>
        <v>K/1GIZ163A</v>
      </c>
    </row>
    <row r="922" spans="1:15" ht="17.5" x14ac:dyDescent="0.55000000000000004">
      <c r="A922" s="5" t="s">
        <v>1301</v>
      </c>
      <c r="B922" s="6" t="s">
        <v>52</v>
      </c>
      <c r="C922" s="6" t="s">
        <v>1320</v>
      </c>
      <c r="D922" s="12" t="s">
        <v>1318</v>
      </c>
      <c r="E922" s="6" t="s">
        <v>50</v>
      </c>
      <c r="F922" s="6" t="s">
        <v>1319</v>
      </c>
      <c r="G922" s="6" t="s">
        <v>1304</v>
      </c>
      <c r="H922" s="6">
        <v>20</v>
      </c>
      <c r="I922" s="6" t="s">
        <v>1305</v>
      </c>
      <c r="J922" s="6">
        <v>2</v>
      </c>
      <c r="K922" s="7" t="str">
        <f t="shared" si="12"/>
        <v>I154</v>
      </c>
      <c r="L922" s="8"/>
      <c r="M922" s="9" t="str">
        <f t="shared" si="13"/>
        <v>GIZ163A</v>
      </c>
      <c r="N922" s="9">
        <f t="shared" si="14"/>
        <v>7</v>
      </c>
      <c r="O922" s="9" t="str">
        <f t="shared" si="15"/>
        <v>P/1GIZ163A</v>
      </c>
    </row>
    <row r="923" spans="1:15" ht="17.5" x14ac:dyDescent="0.55000000000000004">
      <c r="A923" s="10" t="s">
        <v>1301</v>
      </c>
      <c r="B923" s="11" t="s">
        <v>52</v>
      </c>
      <c r="C923" s="11" t="s">
        <v>64</v>
      </c>
      <c r="D923" s="13" t="s">
        <v>1321</v>
      </c>
      <c r="E923" s="11" t="s">
        <v>16</v>
      </c>
      <c r="F923" s="11" t="s">
        <v>1322</v>
      </c>
      <c r="G923" s="11" t="s">
        <v>1304</v>
      </c>
      <c r="H923" s="11">
        <v>20</v>
      </c>
      <c r="I923" s="11" t="s">
        <v>1305</v>
      </c>
      <c r="J923" s="11">
        <v>2</v>
      </c>
      <c r="K923" s="7" t="str">
        <f t="shared" si="12"/>
        <v>I154</v>
      </c>
      <c r="L923" s="8"/>
      <c r="M923" s="9" t="str">
        <f t="shared" si="13"/>
        <v>GIZ151B</v>
      </c>
      <c r="N923" s="9">
        <f t="shared" si="14"/>
        <v>7</v>
      </c>
      <c r="O923" s="9" t="str">
        <f t="shared" si="15"/>
        <v>K/1GIZ151B</v>
      </c>
    </row>
    <row r="924" spans="1:15" ht="17.5" x14ac:dyDescent="0.55000000000000004">
      <c r="A924" s="5" t="s">
        <v>1323</v>
      </c>
      <c r="B924" s="6" t="s">
        <v>13</v>
      </c>
      <c r="C924" s="6" t="s">
        <v>639</v>
      </c>
      <c r="D924" s="12" t="s">
        <v>1324</v>
      </c>
      <c r="E924" s="6" t="s">
        <v>16</v>
      </c>
      <c r="F924" s="6" t="s">
        <v>1325</v>
      </c>
      <c r="G924" s="6" t="s">
        <v>1326</v>
      </c>
      <c r="H924" s="6">
        <v>20</v>
      </c>
      <c r="I924" s="6" t="s">
        <v>1327</v>
      </c>
      <c r="J924" s="6">
        <v>2</v>
      </c>
      <c r="K924" s="7" t="str">
        <f t="shared" si="12"/>
        <v>I251</v>
      </c>
      <c r="L924" s="8"/>
      <c r="M924" s="9" t="str">
        <f t="shared" si="13"/>
        <v>IKK1501</v>
      </c>
      <c r="N924" s="9">
        <f t="shared" si="14"/>
        <v>7</v>
      </c>
      <c r="O924" s="9" t="str">
        <f t="shared" si="15"/>
        <v>K/1IKK1501</v>
      </c>
    </row>
    <row r="925" spans="1:15" ht="17.5" x14ac:dyDescent="0.55000000000000004">
      <c r="A925" s="10" t="s">
        <v>1323</v>
      </c>
      <c r="B925" s="11" t="s">
        <v>13</v>
      </c>
      <c r="C925" s="11" t="s">
        <v>1328</v>
      </c>
      <c r="D925" s="13" t="s">
        <v>1324</v>
      </c>
      <c r="E925" s="11" t="s">
        <v>50</v>
      </c>
      <c r="F925" s="11" t="s">
        <v>1325</v>
      </c>
      <c r="G925" s="11" t="s">
        <v>1326</v>
      </c>
      <c r="H925" s="11">
        <v>20</v>
      </c>
      <c r="I925" s="11" t="s">
        <v>1327</v>
      </c>
      <c r="J925" s="11">
        <v>2</v>
      </c>
      <c r="K925" s="7" t="str">
        <f t="shared" si="12"/>
        <v>I251</v>
      </c>
      <c r="L925" s="8"/>
      <c r="M925" s="9" t="str">
        <f t="shared" si="13"/>
        <v>IKK1501</v>
      </c>
      <c r="N925" s="9">
        <f t="shared" si="14"/>
        <v>7</v>
      </c>
      <c r="O925" s="9" t="str">
        <f t="shared" si="15"/>
        <v>P/1IKK1501</v>
      </c>
    </row>
    <row r="926" spans="1:15" ht="17.5" x14ac:dyDescent="0.55000000000000004">
      <c r="A926" s="5" t="s">
        <v>1323</v>
      </c>
      <c r="B926" s="6" t="s">
        <v>31</v>
      </c>
      <c r="C926" s="6" t="s">
        <v>261</v>
      </c>
      <c r="D926" s="12" t="s">
        <v>1329</v>
      </c>
      <c r="E926" s="6" t="s">
        <v>16</v>
      </c>
      <c r="F926" s="6" t="s">
        <v>1330</v>
      </c>
      <c r="G926" s="6" t="s">
        <v>1326</v>
      </c>
      <c r="H926" s="6">
        <v>20</v>
      </c>
      <c r="I926" s="6" t="s">
        <v>1327</v>
      </c>
      <c r="J926" s="6">
        <v>2</v>
      </c>
      <c r="K926" s="7" t="str">
        <f t="shared" si="12"/>
        <v>I251</v>
      </c>
      <c r="L926" s="8"/>
      <c r="M926" s="9" t="str">
        <f t="shared" si="13"/>
        <v>IKK1623</v>
      </c>
      <c r="N926" s="9">
        <f t="shared" si="14"/>
        <v>7</v>
      </c>
      <c r="O926" s="9" t="str">
        <f t="shared" si="15"/>
        <v>K/1IKK1623</v>
      </c>
    </row>
    <row r="927" spans="1:15" ht="17.5" x14ac:dyDescent="0.55000000000000004">
      <c r="A927" s="10" t="s">
        <v>1323</v>
      </c>
      <c r="B927" s="11" t="s">
        <v>31</v>
      </c>
      <c r="C927" s="11" t="s">
        <v>1331</v>
      </c>
      <c r="D927" s="13" t="s">
        <v>1329</v>
      </c>
      <c r="E927" s="11" t="s">
        <v>50</v>
      </c>
      <c r="F927" s="11" t="s">
        <v>1330</v>
      </c>
      <c r="G927" s="11" t="s">
        <v>1326</v>
      </c>
      <c r="H927" s="11">
        <v>20</v>
      </c>
      <c r="I927" s="11" t="s">
        <v>1327</v>
      </c>
      <c r="J927" s="11">
        <v>2</v>
      </c>
      <c r="K927" s="7" t="str">
        <f t="shared" si="12"/>
        <v>I251</v>
      </c>
      <c r="L927" s="8"/>
      <c r="M927" s="9" t="str">
        <f t="shared" si="13"/>
        <v>IKK1623</v>
      </c>
      <c r="N927" s="9">
        <f t="shared" si="14"/>
        <v>7</v>
      </c>
      <c r="O927" s="9" t="str">
        <f t="shared" si="15"/>
        <v>P/1IKK1623</v>
      </c>
    </row>
    <row r="928" spans="1:15" ht="17.5" x14ac:dyDescent="0.55000000000000004">
      <c r="A928" s="5" t="s">
        <v>1323</v>
      </c>
      <c r="B928" s="6" t="s">
        <v>31</v>
      </c>
      <c r="C928" s="6" t="s">
        <v>64</v>
      </c>
      <c r="D928" s="12" t="s">
        <v>1332</v>
      </c>
      <c r="E928" s="6" t="s">
        <v>16</v>
      </c>
      <c r="F928" s="6" t="s">
        <v>86</v>
      </c>
      <c r="G928" s="6" t="s">
        <v>1326</v>
      </c>
      <c r="H928" s="6">
        <v>20</v>
      </c>
      <c r="I928" s="6" t="s">
        <v>1327</v>
      </c>
      <c r="J928" s="6">
        <v>2</v>
      </c>
      <c r="K928" s="7" t="str">
        <f t="shared" si="12"/>
        <v>I251</v>
      </c>
      <c r="L928" s="8"/>
      <c r="M928" s="9" t="str">
        <f t="shared" si="13"/>
        <v>IKK1616</v>
      </c>
      <c r="N928" s="9">
        <f t="shared" si="14"/>
        <v>7</v>
      </c>
      <c r="O928" s="9" t="str">
        <f t="shared" si="15"/>
        <v>K/1IKK1616</v>
      </c>
    </row>
    <row r="929" spans="1:15" ht="17.5" x14ac:dyDescent="0.55000000000000004">
      <c r="A929" s="10" t="s">
        <v>1323</v>
      </c>
      <c r="B929" s="11" t="s">
        <v>41</v>
      </c>
      <c r="C929" s="11" t="s">
        <v>14</v>
      </c>
      <c r="D929" s="13" t="s">
        <v>1333</v>
      </c>
      <c r="E929" s="11" t="s">
        <v>16</v>
      </c>
      <c r="F929" s="11" t="s">
        <v>1330</v>
      </c>
      <c r="G929" s="11" t="s">
        <v>1326</v>
      </c>
      <c r="H929" s="11">
        <v>20</v>
      </c>
      <c r="I929" s="11" t="s">
        <v>1327</v>
      </c>
      <c r="J929" s="11">
        <v>2</v>
      </c>
      <c r="K929" s="7" t="str">
        <f t="shared" si="12"/>
        <v>I251</v>
      </c>
      <c r="L929" s="8"/>
      <c r="M929" s="9" t="str">
        <f t="shared" si="13"/>
        <v>IKK1621</v>
      </c>
      <c r="N929" s="9">
        <f t="shared" si="14"/>
        <v>7</v>
      </c>
      <c r="O929" s="9" t="str">
        <f t="shared" si="15"/>
        <v>K/1IKK1621</v>
      </c>
    </row>
    <row r="930" spans="1:15" ht="17.5" x14ac:dyDescent="0.55000000000000004">
      <c r="A930" s="5" t="s">
        <v>1323</v>
      </c>
      <c r="B930" s="6" t="s">
        <v>41</v>
      </c>
      <c r="C930" s="6" t="s">
        <v>64</v>
      </c>
      <c r="D930" s="12" t="s">
        <v>1334</v>
      </c>
      <c r="E930" s="6" t="s">
        <v>16</v>
      </c>
      <c r="F930" s="6" t="s">
        <v>1335</v>
      </c>
      <c r="G930" s="6" t="s">
        <v>1326</v>
      </c>
      <c r="H930" s="6">
        <v>20</v>
      </c>
      <c r="I930" s="6" t="s">
        <v>1327</v>
      </c>
      <c r="J930" s="6">
        <v>2</v>
      </c>
      <c r="K930" s="7" t="str">
        <f t="shared" si="12"/>
        <v>I251</v>
      </c>
      <c r="L930" s="8"/>
      <c r="M930" s="9" t="str">
        <f t="shared" si="13"/>
        <v>IKK1634</v>
      </c>
      <c r="N930" s="9">
        <f t="shared" si="14"/>
        <v>7</v>
      </c>
      <c r="O930" s="9" t="str">
        <f t="shared" si="15"/>
        <v>K/1IKK1634</v>
      </c>
    </row>
    <row r="931" spans="1:15" ht="17.5" x14ac:dyDescent="0.55000000000000004">
      <c r="A931" s="10" t="s">
        <v>1323</v>
      </c>
      <c r="B931" s="11" t="s">
        <v>47</v>
      </c>
      <c r="C931" s="11" t="s">
        <v>221</v>
      </c>
      <c r="D931" s="13" t="s">
        <v>1336</v>
      </c>
      <c r="E931" s="11" t="s">
        <v>16</v>
      </c>
      <c r="F931" s="11" t="s">
        <v>1337</v>
      </c>
      <c r="G931" s="11" t="s">
        <v>1326</v>
      </c>
      <c r="H931" s="11">
        <v>20</v>
      </c>
      <c r="I931" s="11" t="s">
        <v>1327</v>
      </c>
      <c r="J931" s="11">
        <v>2</v>
      </c>
      <c r="K931" s="7" t="str">
        <f t="shared" si="12"/>
        <v>I251</v>
      </c>
      <c r="L931" s="8"/>
      <c r="M931" s="9" t="str">
        <f t="shared" si="13"/>
        <v>IKK1602</v>
      </c>
      <c r="N931" s="9">
        <f t="shared" si="14"/>
        <v>7</v>
      </c>
      <c r="O931" s="9" t="str">
        <f t="shared" si="15"/>
        <v>K/1IKK1602</v>
      </c>
    </row>
    <row r="932" spans="1:15" ht="17.5" x14ac:dyDescent="0.55000000000000004">
      <c r="A932" s="5" t="s">
        <v>1323</v>
      </c>
      <c r="B932" s="6" t="s">
        <v>47</v>
      </c>
      <c r="C932" s="6" t="s">
        <v>758</v>
      </c>
      <c r="D932" s="12" t="s">
        <v>1336</v>
      </c>
      <c r="E932" s="6" t="s">
        <v>50</v>
      </c>
      <c r="F932" s="6" t="s">
        <v>1337</v>
      </c>
      <c r="G932" s="6" t="s">
        <v>1338</v>
      </c>
      <c r="H932" s="6">
        <v>30</v>
      </c>
      <c r="I932" s="6" t="s">
        <v>1327</v>
      </c>
      <c r="J932" s="6">
        <v>2</v>
      </c>
      <c r="K932" s="7" t="str">
        <f t="shared" si="12"/>
        <v>I251</v>
      </c>
      <c r="L932" s="8"/>
      <c r="M932" s="9" t="str">
        <f t="shared" si="13"/>
        <v>IKK1602</v>
      </c>
      <c r="N932" s="9">
        <f t="shared" si="14"/>
        <v>7</v>
      </c>
      <c r="O932" s="9" t="str">
        <f t="shared" si="15"/>
        <v>P/1IKK1602</v>
      </c>
    </row>
    <row r="933" spans="1:15" ht="17.5" x14ac:dyDescent="0.55000000000000004">
      <c r="A933" s="10" t="s">
        <v>1323</v>
      </c>
      <c r="B933" s="11" t="s">
        <v>52</v>
      </c>
      <c r="C933" s="11" t="s">
        <v>261</v>
      </c>
      <c r="D933" s="13" t="s">
        <v>1339</v>
      </c>
      <c r="E933" s="11" t="s">
        <v>16</v>
      </c>
      <c r="F933" s="11" t="s">
        <v>1340</v>
      </c>
      <c r="G933" s="11" t="s">
        <v>1326</v>
      </c>
      <c r="H933" s="11">
        <v>20</v>
      </c>
      <c r="I933" s="11" t="s">
        <v>1327</v>
      </c>
      <c r="J933" s="11">
        <v>2</v>
      </c>
      <c r="K933" s="7" t="str">
        <f t="shared" si="12"/>
        <v>I251</v>
      </c>
      <c r="L933" s="8"/>
      <c r="M933" s="9" t="str">
        <f t="shared" si="13"/>
        <v>IKK1603</v>
      </c>
      <c r="N933" s="9">
        <f t="shared" si="14"/>
        <v>7</v>
      </c>
      <c r="O933" s="9" t="str">
        <f t="shared" si="15"/>
        <v>K/1IKK1603</v>
      </c>
    </row>
    <row r="934" spans="1:15" ht="17.5" x14ac:dyDescent="0.55000000000000004">
      <c r="A934" s="5" t="s">
        <v>1323</v>
      </c>
      <c r="B934" s="6" t="s">
        <v>52</v>
      </c>
      <c r="C934" s="6" t="s">
        <v>191</v>
      </c>
      <c r="D934" s="12" t="s">
        <v>1341</v>
      </c>
      <c r="E934" s="6" t="s">
        <v>16</v>
      </c>
      <c r="F934" s="6" t="s">
        <v>1342</v>
      </c>
      <c r="G934" s="6" t="s">
        <v>1326</v>
      </c>
      <c r="H934" s="6">
        <v>20</v>
      </c>
      <c r="I934" s="6" t="s">
        <v>1327</v>
      </c>
      <c r="J934" s="6">
        <v>2</v>
      </c>
      <c r="K934" s="7" t="str">
        <f t="shared" si="12"/>
        <v>I251</v>
      </c>
      <c r="L934" s="8"/>
      <c r="M934" s="9" t="str">
        <f t="shared" si="13"/>
        <v>IKK1617</v>
      </c>
      <c r="N934" s="9">
        <f t="shared" si="14"/>
        <v>7</v>
      </c>
      <c r="O934" s="9" t="str">
        <f t="shared" si="15"/>
        <v>K/1IKK1617</v>
      </c>
    </row>
    <row r="935" spans="1:15" ht="17.5" x14ac:dyDescent="0.55000000000000004">
      <c r="A935" s="10" t="s">
        <v>1323</v>
      </c>
      <c r="B935" s="11" t="s">
        <v>52</v>
      </c>
      <c r="C935" s="11" t="s">
        <v>1328</v>
      </c>
      <c r="D935" s="13" t="s">
        <v>1339</v>
      </c>
      <c r="E935" s="11" t="s">
        <v>50</v>
      </c>
      <c r="F935" s="11" t="s">
        <v>1340</v>
      </c>
      <c r="G935" s="11" t="s">
        <v>1326</v>
      </c>
      <c r="H935" s="11">
        <v>20</v>
      </c>
      <c r="I935" s="11" t="s">
        <v>1327</v>
      </c>
      <c r="J935" s="11">
        <v>2</v>
      </c>
      <c r="K935" s="7" t="str">
        <f t="shared" si="12"/>
        <v>I251</v>
      </c>
      <c r="L935" s="8"/>
      <c r="M935" s="9" t="str">
        <f t="shared" si="13"/>
        <v>IKK1603</v>
      </c>
      <c r="N935" s="9">
        <f t="shared" si="14"/>
        <v>7</v>
      </c>
      <c r="O935" s="9" t="str">
        <f t="shared" si="15"/>
        <v>P/1IKK1603</v>
      </c>
    </row>
    <row r="936" spans="1:15" ht="17.5" x14ac:dyDescent="0.55000000000000004">
      <c r="A936" s="5" t="s">
        <v>1343</v>
      </c>
      <c r="B936" s="6" t="s">
        <v>31</v>
      </c>
      <c r="C936" s="6" t="s">
        <v>14</v>
      </c>
      <c r="D936" s="5" t="s">
        <v>1344</v>
      </c>
      <c r="E936" s="6" t="s">
        <v>16</v>
      </c>
      <c r="F936" s="6" t="s">
        <v>1345</v>
      </c>
      <c r="G936" s="6" t="s">
        <v>17</v>
      </c>
      <c r="H936" s="6">
        <v>0</v>
      </c>
      <c r="I936" s="6" t="s">
        <v>1346</v>
      </c>
      <c r="J936" s="6">
        <v>2</v>
      </c>
      <c r="K936" s="7" t="str">
        <f t="shared" si="12"/>
        <v>I352</v>
      </c>
      <c r="L936" s="8"/>
      <c r="M936" s="9" t="str">
        <f t="shared" si="13"/>
        <v>KPM1551</v>
      </c>
      <c r="N936" s="9">
        <f t="shared" si="14"/>
        <v>7</v>
      </c>
      <c r="O936" s="9" t="str">
        <f t="shared" si="15"/>
        <v>K/1KPM1551</v>
      </c>
    </row>
    <row r="937" spans="1:15" ht="17.5" x14ac:dyDescent="0.55000000000000004">
      <c r="A937" s="10" t="s">
        <v>1343</v>
      </c>
      <c r="B937" s="11" t="s">
        <v>31</v>
      </c>
      <c r="C937" s="11" t="s">
        <v>1347</v>
      </c>
      <c r="D937" s="10" t="s">
        <v>1344</v>
      </c>
      <c r="E937" s="11" t="s">
        <v>50</v>
      </c>
      <c r="F937" s="11" t="s">
        <v>1345</v>
      </c>
      <c r="G937" s="11" t="s">
        <v>17</v>
      </c>
      <c r="H937" s="11">
        <v>0</v>
      </c>
      <c r="I937" s="11" t="s">
        <v>1346</v>
      </c>
      <c r="J937" s="11">
        <v>2</v>
      </c>
      <c r="K937" s="7" t="str">
        <f t="shared" si="12"/>
        <v>I352</v>
      </c>
      <c r="L937" s="8"/>
      <c r="M937" s="9" t="str">
        <f t="shared" si="13"/>
        <v>KPM1551</v>
      </c>
      <c r="N937" s="9">
        <f t="shared" si="14"/>
        <v>7</v>
      </c>
      <c r="O937" s="9" t="str">
        <f t="shared" si="15"/>
        <v>P/1KPM1551</v>
      </c>
    </row>
    <row r="938" spans="1:15" ht="17.5" x14ac:dyDescent="0.55000000000000004">
      <c r="A938" s="5" t="s">
        <v>1343</v>
      </c>
      <c r="B938" s="6" t="s">
        <v>31</v>
      </c>
      <c r="C938" s="6" t="s">
        <v>64</v>
      </c>
      <c r="D938" s="5" t="s">
        <v>1348</v>
      </c>
      <c r="E938" s="6" t="s">
        <v>16</v>
      </c>
      <c r="F938" s="6" t="s">
        <v>1349</v>
      </c>
      <c r="G938" s="6" t="s">
        <v>17</v>
      </c>
      <c r="H938" s="6">
        <v>0</v>
      </c>
      <c r="I938" s="6" t="s">
        <v>1350</v>
      </c>
      <c r="J938" s="6">
        <v>2</v>
      </c>
      <c r="K938" s="7" t="str">
        <f t="shared" si="12"/>
        <v>I352</v>
      </c>
      <c r="L938" s="8"/>
      <c r="M938" s="9" t="str">
        <f t="shared" si="13"/>
        <v>KPM1656</v>
      </c>
      <c r="N938" s="9">
        <f t="shared" si="14"/>
        <v>7</v>
      </c>
      <c r="O938" s="9" t="str">
        <f t="shared" si="15"/>
        <v>K/1KPM1656</v>
      </c>
    </row>
    <row r="939" spans="1:15" ht="17.5" x14ac:dyDescent="0.55000000000000004">
      <c r="A939" s="10" t="s">
        <v>1343</v>
      </c>
      <c r="B939" s="11" t="s">
        <v>31</v>
      </c>
      <c r="C939" s="11" t="s">
        <v>1351</v>
      </c>
      <c r="D939" s="10" t="s">
        <v>1348</v>
      </c>
      <c r="E939" s="11" t="s">
        <v>50</v>
      </c>
      <c r="F939" s="11" t="s">
        <v>1349</v>
      </c>
      <c r="G939" s="11" t="s">
        <v>17</v>
      </c>
      <c r="H939" s="11">
        <v>0</v>
      </c>
      <c r="I939" s="11" t="s">
        <v>1350</v>
      </c>
      <c r="J939" s="11">
        <v>2</v>
      </c>
      <c r="K939" s="7" t="str">
        <f t="shared" si="12"/>
        <v>I352</v>
      </c>
      <c r="L939" s="8"/>
      <c r="M939" s="9" t="str">
        <f t="shared" si="13"/>
        <v>KPM1656</v>
      </c>
      <c r="N939" s="9">
        <f t="shared" si="14"/>
        <v>7</v>
      </c>
      <c r="O939" s="9" t="str">
        <f t="shared" si="15"/>
        <v>P/1KPM1656</v>
      </c>
    </row>
    <row r="940" spans="1:15" ht="17.5" x14ac:dyDescent="0.55000000000000004">
      <c r="A940" s="5" t="s">
        <v>1343</v>
      </c>
      <c r="B940" s="6" t="s">
        <v>41</v>
      </c>
      <c r="C940" s="6" t="s">
        <v>1352</v>
      </c>
      <c r="D940" s="5" t="s">
        <v>1353</v>
      </c>
      <c r="E940" s="6" t="s">
        <v>16</v>
      </c>
      <c r="F940" s="6" t="s">
        <v>1354</v>
      </c>
      <c r="G940" s="6" t="s">
        <v>17</v>
      </c>
      <c r="H940" s="6">
        <v>0</v>
      </c>
      <c r="I940" s="6" t="s">
        <v>1350</v>
      </c>
      <c r="J940" s="6">
        <v>2</v>
      </c>
      <c r="K940" s="7" t="str">
        <f t="shared" si="12"/>
        <v>I352</v>
      </c>
      <c r="L940" s="8"/>
      <c r="M940" s="9" t="str">
        <f t="shared" si="13"/>
        <v>KPM1614</v>
      </c>
      <c r="N940" s="9">
        <f t="shared" si="14"/>
        <v>7</v>
      </c>
      <c r="O940" s="9" t="str">
        <f t="shared" si="15"/>
        <v>K/1KPM1614</v>
      </c>
    </row>
    <row r="941" spans="1:15" ht="17.5" x14ac:dyDescent="0.55000000000000004">
      <c r="A941" s="10" t="s">
        <v>1343</v>
      </c>
      <c r="B941" s="11" t="s">
        <v>41</v>
      </c>
      <c r="C941" s="11" t="s">
        <v>1351</v>
      </c>
      <c r="D941" s="10" t="s">
        <v>1353</v>
      </c>
      <c r="E941" s="11" t="s">
        <v>50</v>
      </c>
      <c r="F941" s="11" t="s">
        <v>1354</v>
      </c>
      <c r="G941" s="11" t="s">
        <v>17</v>
      </c>
      <c r="H941" s="11">
        <v>0</v>
      </c>
      <c r="I941" s="11" t="s">
        <v>1350</v>
      </c>
      <c r="J941" s="11">
        <v>2</v>
      </c>
      <c r="K941" s="7" t="str">
        <f t="shared" si="12"/>
        <v>I352</v>
      </c>
      <c r="L941" s="8"/>
      <c r="M941" s="9" t="str">
        <f t="shared" si="13"/>
        <v>KPM1614</v>
      </c>
      <c r="N941" s="9">
        <f t="shared" si="14"/>
        <v>7</v>
      </c>
      <c r="O941" s="9" t="str">
        <f t="shared" si="15"/>
        <v>P/1KPM1614</v>
      </c>
    </row>
    <row r="942" spans="1:15" ht="17.5" x14ac:dyDescent="0.55000000000000004">
      <c r="A942" s="5" t="s">
        <v>1343</v>
      </c>
      <c r="B942" s="6" t="s">
        <v>47</v>
      </c>
      <c r="C942" s="6" t="s">
        <v>1355</v>
      </c>
      <c r="D942" s="5" t="s">
        <v>1356</v>
      </c>
      <c r="E942" s="6" t="s">
        <v>16</v>
      </c>
      <c r="F942" s="6" t="s">
        <v>1345</v>
      </c>
      <c r="G942" s="6" t="s">
        <v>17</v>
      </c>
      <c r="H942" s="6">
        <v>0</v>
      </c>
      <c r="I942" s="6" t="s">
        <v>1350</v>
      </c>
      <c r="J942" s="6">
        <v>2</v>
      </c>
      <c r="K942" s="7" t="str">
        <f t="shared" si="12"/>
        <v>I352</v>
      </c>
      <c r="L942" s="8"/>
      <c r="M942" s="9" t="str">
        <f t="shared" si="13"/>
        <v>KPM165C</v>
      </c>
      <c r="N942" s="9">
        <f t="shared" si="14"/>
        <v>7</v>
      </c>
      <c r="O942" s="9" t="str">
        <f t="shared" si="15"/>
        <v>K/1KPM165C</v>
      </c>
    </row>
    <row r="943" spans="1:15" ht="17.5" x14ac:dyDescent="0.55000000000000004">
      <c r="A943" s="10" t="s">
        <v>1343</v>
      </c>
      <c r="B943" s="11" t="s">
        <v>47</v>
      </c>
      <c r="C943" s="11" t="s">
        <v>1357</v>
      </c>
      <c r="D943" s="10" t="s">
        <v>1356</v>
      </c>
      <c r="E943" s="11" t="s">
        <v>50</v>
      </c>
      <c r="F943" s="11" t="s">
        <v>1345</v>
      </c>
      <c r="G943" s="11" t="s">
        <v>17</v>
      </c>
      <c r="H943" s="11">
        <v>0</v>
      </c>
      <c r="I943" s="11" t="s">
        <v>1350</v>
      </c>
      <c r="J943" s="11">
        <v>2</v>
      </c>
      <c r="K943" s="7" t="str">
        <f t="shared" si="12"/>
        <v>I352</v>
      </c>
      <c r="L943" s="8"/>
      <c r="M943" s="9" t="str">
        <f t="shared" si="13"/>
        <v>KPM165C</v>
      </c>
      <c r="N943" s="9">
        <f t="shared" si="14"/>
        <v>7</v>
      </c>
      <c r="O943" s="9" t="str">
        <f t="shared" si="15"/>
        <v>P/1KPM165C</v>
      </c>
    </row>
    <row r="944" spans="1:15" ht="17.5" x14ac:dyDescent="0.55000000000000004">
      <c r="A944" s="5" t="s">
        <v>1358</v>
      </c>
      <c r="B944" s="6" t="s">
        <v>13</v>
      </c>
      <c r="C944" s="6" t="s">
        <v>53</v>
      </c>
      <c r="D944" s="12" t="s">
        <v>1359</v>
      </c>
      <c r="E944" s="6" t="s">
        <v>16</v>
      </c>
      <c r="F944" s="6" t="s">
        <v>1360</v>
      </c>
      <c r="G944" s="6" t="s">
        <v>17</v>
      </c>
      <c r="H944" s="6">
        <v>0</v>
      </c>
      <c r="I944" s="6" t="s">
        <v>1361</v>
      </c>
      <c r="J944" s="6">
        <v>2</v>
      </c>
      <c r="K944" s="7" t="str">
        <f t="shared" si="12"/>
        <v>I353</v>
      </c>
      <c r="L944" s="8"/>
      <c r="M944" s="9" t="str">
        <f t="shared" si="13"/>
        <v>KPM1564</v>
      </c>
      <c r="N944" s="9">
        <f t="shared" si="14"/>
        <v>7</v>
      </c>
      <c r="O944" s="9" t="str">
        <f t="shared" si="15"/>
        <v>K/1KPM1564</v>
      </c>
    </row>
    <row r="945" spans="1:15" ht="17.5" x14ac:dyDescent="0.55000000000000004">
      <c r="A945" s="10" t="s">
        <v>1358</v>
      </c>
      <c r="B945" s="11" t="s">
        <v>13</v>
      </c>
      <c r="C945" s="11" t="s">
        <v>36</v>
      </c>
      <c r="D945" s="13" t="s">
        <v>1362</v>
      </c>
      <c r="E945" s="11" t="s">
        <v>16</v>
      </c>
      <c r="F945" s="11" t="s">
        <v>1363</v>
      </c>
      <c r="G945" s="11" t="s">
        <v>17</v>
      </c>
      <c r="H945" s="11">
        <v>0</v>
      </c>
      <c r="I945" s="11" t="s">
        <v>1361</v>
      </c>
      <c r="J945" s="11">
        <v>2</v>
      </c>
      <c r="K945" s="7" t="str">
        <f t="shared" si="12"/>
        <v>I353</v>
      </c>
      <c r="L945" s="8"/>
      <c r="M945" s="9" t="str">
        <f t="shared" si="13"/>
        <v>KPM153E</v>
      </c>
      <c r="N945" s="9">
        <f t="shared" si="14"/>
        <v>7</v>
      </c>
      <c r="O945" s="9" t="str">
        <f t="shared" si="15"/>
        <v>K/1KPM153E</v>
      </c>
    </row>
    <row r="946" spans="1:15" ht="17.5" x14ac:dyDescent="0.55000000000000004">
      <c r="A946" s="5" t="s">
        <v>1358</v>
      </c>
      <c r="B946" s="6" t="s">
        <v>13</v>
      </c>
      <c r="C946" s="6" t="s">
        <v>36</v>
      </c>
      <c r="D946" s="12" t="s">
        <v>1364</v>
      </c>
      <c r="E946" s="6" t="s">
        <v>16</v>
      </c>
      <c r="F946" s="6" t="s">
        <v>1365</v>
      </c>
      <c r="G946" s="6" t="s">
        <v>17</v>
      </c>
      <c r="H946" s="6">
        <v>0</v>
      </c>
      <c r="I946" s="6" t="s">
        <v>1361</v>
      </c>
      <c r="J946" s="6">
        <v>2</v>
      </c>
      <c r="K946" s="7" t="str">
        <f t="shared" si="12"/>
        <v>I353</v>
      </c>
      <c r="L946" s="8"/>
      <c r="M946" s="9" t="str">
        <f t="shared" si="13"/>
        <v>KPM1560</v>
      </c>
      <c r="N946" s="9">
        <f t="shared" si="14"/>
        <v>7</v>
      </c>
      <c r="O946" s="9" t="str">
        <f t="shared" si="15"/>
        <v>K/1KPM1560</v>
      </c>
    </row>
    <row r="947" spans="1:15" ht="17.5" x14ac:dyDescent="0.55000000000000004">
      <c r="A947" s="10" t="s">
        <v>1358</v>
      </c>
      <c r="B947" s="11" t="s">
        <v>31</v>
      </c>
      <c r="C947" s="11" t="s">
        <v>53</v>
      </c>
      <c r="D947" s="13" t="s">
        <v>1366</v>
      </c>
      <c r="E947" s="11" t="s">
        <v>16</v>
      </c>
      <c r="F947" s="11" t="s">
        <v>1367</v>
      </c>
      <c r="G947" s="11" t="s">
        <v>17</v>
      </c>
      <c r="H947" s="11">
        <v>0</v>
      </c>
      <c r="I947" s="11" t="s">
        <v>1361</v>
      </c>
      <c r="J947" s="11">
        <v>2</v>
      </c>
      <c r="K947" s="7" t="str">
        <f t="shared" si="12"/>
        <v>I353</v>
      </c>
      <c r="L947" s="8"/>
      <c r="M947" s="9" t="str">
        <f t="shared" si="13"/>
        <v>KPM1565</v>
      </c>
      <c r="N947" s="9">
        <f t="shared" si="14"/>
        <v>7</v>
      </c>
      <c r="O947" s="9" t="str">
        <f t="shared" si="15"/>
        <v>K/1KPM1565</v>
      </c>
    </row>
    <row r="948" spans="1:15" ht="17.5" x14ac:dyDescent="0.55000000000000004">
      <c r="A948" s="5" t="s">
        <v>1358</v>
      </c>
      <c r="B948" s="6" t="s">
        <v>31</v>
      </c>
      <c r="C948" s="6" t="s">
        <v>639</v>
      </c>
      <c r="D948" s="12" t="s">
        <v>1368</v>
      </c>
      <c r="E948" s="6" t="s">
        <v>16</v>
      </c>
      <c r="F948" s="6" t="s">
        <v>1369</v>
      </c>
      <c r="G948" s="6" t="s">
        <v>17</v>
      </c>
      <c r="H948" s="6">
        <v>0</v>
      </c>
      <c r="I948" s="6" t="s">
        <v>1361</v>
      </c>
      <c r="J948" s="6">
        <v>2</v>
      </c>
      <c r="K948" s="7" t="str">
        <f t="shared" si="12"/>
        <v>I353</v>
      </c>
      <c r="L948" s="8"/>
      <c r="M948" s="9" t="str">
        <f t="shared" si="13"/>
        <v>KPM1575</v>
      </c>
      <c r="N948" s="9">
        <f t="shared" si="14"/>
        <v>7</v>
      </c>
      <c r="O948" s="9" t="str">
        <f t="shared" si="15"/>
        <v>K/1KPM1575</v>
      </c>
    </row>
    <row r="949" spans="1:15" ht="17.5" x14ac:dyDescent="0.55000000000000004">
      <c r="A949" s="10" t="s">
        <v>1358</v>
      </c>
      <c r="B949" s="11" t="s">
        <v>31</v>
      </c>
      <c r="C949" s="11" t="s">
        <v>64</v>
      </c>
      <c r="D949" s="13" t="s">
        <v>1370</v>
      </c>
      <c r="E949" s="11" t="s">
        <v>16</v>
      </c>
      <c r="F949" s="11" t="s">
        <v>1371</v>
      </c>
      <c r="G949" s="11" t="s">
        <v>17</v>
      </c>
      <c r="H949" s="11">
        <v>0</v>
      </c>
      <c r="I949" s="11" t="s">
        <v>1361</v>
      </c>
      <c r="J949" s="11">
        <v>2</v>
      </c>
      <c r="K949" s="7" t="str">
        <f t="shared" si="12"/>
        <v>I353</v>
      </c>
      <c r="L949" s="8"/>
      <c r="M949" s="9" t="str">
        <f t="shared" si="13"/>
        <v>KPM153F</v>
      </c>
      <c r="N949" s="9">
        <f t="shared" si="14"/>
        <v>7</v>
      </c>
      <c r="O949" s="9" t="str">
        <f t="shared" si="15"/>
        <v>K/1KPM153F</v>
      </c>
    </row>
    <row r="950" spans="1:15" ht="17.5" x14ac:dyDescent="0.55000000000000004">
      <c r="A950" s="5" t="s">
        <v>1358</v>
      </c>
      <c r="B950" s="6" t="s">
        <v>31</v>
      </c>
      <c r="C950" s="6" t="s">
        <v>64</v>
      </c>
      <c r="D950" s="12" t="s">
        <v>1372</v>
      </c>
      <c r="E950" s="6" t="s">
        <v>16</v>
      </c>
      <c r="F950" s="6" t="s">
        <v>1363</v>
      </c>
      <c r="G950" s="6" t="s">
        <v>1373</v>
      </c>
      <c r="H950" s="6">
        <v>20</v>
      </c>
      <c r="I950" s="6" t="s">
        <v>1361</v>
      </c>
      <c r="J950" s="6">
        <v>2</v>
      </c>
      <c r="K950" s="7" t="str">
        <f t="shared" si="12"/>
        <v>I353</v>
      </c>
      <c r="L950" s="8"/>
      <c r="M950" s="9" t="str">
        <f t="shared" si="13"/>
        <v>KPM1574</v>
      </c>
      <c r="N950" s="9">
        <f t="shared" si="14"/>
        <v>7</v>
      </c>
      <c r="O950" s="9" t="str">
        <f t="shared" si="15"/>
        <v>K/1KPM1574</v>
      </c>
    </row>
    <row r="951" spans="1:15" ht="17.5" x14ac:dyDescent="0.55000000000000004">
      <c r="A951" s="10" t="s">
        <v>1358</v>
      </c>
      <c r="B951" s="11" t="s">
        <v>41</v>
      </c>
      <c r="C951" s="11" t="s">
        <v>14</v>
      </c>
      <c r="D951" s="13" t="s">
        <v>1374</v>
      </c>
      <c r="E951" s="11" t="s">
        <v>16</v>
      </c>
      <c r="F951" s="11" t="s">
        <v>1375</v>
      </c>
      <c r="G951" s="11" t="s">
        <v>17</v>
      </c>
      <c r="H951" s="11">
        <v>0</v>
      </c>
      <c r="I951" s="11" t="s">
        <v>1361</v>
      </c>
      <c r="J951" s="11">
        <v>2</v>
      </c>
      <c r="K951" s="7" t="str">
        <f t="shared" si="12"/>
        <v>I353</v>
      </c>
      <c r="L951" s="8"/>
      <c r="M951" s="9" t="str">
        <f t="shared" si="13"/>
        <v>KPM1531</v>
      </c>
      <c r="N951" s="9">
        <f t="shared" si="14"/>
        <v>7</v>
      </c>
      <c r="O951" s="9" t="str">
        <f t="shared" si="15"/>
        <v>K/1KPM1531</v>
      </c>
    </row>
    <row r="952" spans="1:15" ht="17.5" x14ac:dyDescent="0.55000000000000004">
      <c r="A952" s="5" t="s">
        <v>1358</v>
      </c>
      <c r="B952" s="6" t="s">
        <v>41</v>
      </c>
      <c r="C952" s="6" t="s">
        <v>14</v>
      </c>
      <c r="D952" s="12" t="s">
        <v>1376</v>
      </c>
      <c r="E952" s="6" t="s">
        <v>16</v>
      </c>
      <c r="F952" s="6" t="s">
        <v>1363</v>
      </c>
      <c r="G952" s="6" t="s">
        <v>17</v>
      </c>
      <c r="H952" s="6">
        <v>0</v>
      </c>
      <c r="I952" s="6" t="s">
        <v>1361</v>
      </c>
      <c r="J952" s="6">
        <v>2</v>
      </c>
      <c r="K952" s="7" t="str">
        <f t="shared" si="12"/>
        <v>I353</v>
      </c>
      <c r="L952" s="8"/>
      <c r="M952" s="9" t="str">
        <f t="shared" si="13"/>
        <v>KPM153G</v>
      </c>
      <c r="N952" s="9">
        <f t="shared" si="14"/>
        <v>7</v>
      </c>
      <c r="O952" s="9" t="str">
        <f t="shared" si="15"/>
        <v>K/1KPM153G</v>
      </c>
    </row>
    <row r="953" spans="1:15" ht="17.5" x14ac:dyDescent="0.55000000000000004">
      <c r="A953" s="10" t="s">
        <v>1358</v>
      </c>
      <c r="B953" s="11" t="s">
        <v>41</v>
      </c>
      <c r="C953" s="11" t="s">
        <v>64</v>
      </c>
      <c r="D953" s="13" t="s">
        <v>1370</v>
      </c>
      <c r="E953" s="11" t="s">
        <v>50</v>
      </c>
      <c r="F953" s="11" t="s">
        <v>1371</v>
      </c>
      <c r="G953" s="11" t="s">
        <v>17</v>
      </c>
      <c r="H953" s="11">
        <v>0</v>
      </c>
      <c r="I953" s="11" t="s">
        <v>1361</v>
      </c>
      <c r="J953" s="11">
        <v>2</v>
      </c>
      <c r="K953" s="7" t="str">
        <f t="shared" si="12"/>
        <v>I353</v>
      </c>
      <c r="L953" s="8"/>
      <c r="M953" s="9" t="str">
        <f t="shared" si="13"/>
        <v>KPM153F</v>
      </c>
      <c r="N953" s="9">
        <f t="shared" si="14"/>
        <v>7</v>
      </c>
      <c r="O953" s="9" t="str">
        <f t="shared" si="15"/>
        <v>P/1KPM153F</v>
      </c>
    </row>
    <row r="954" spans="1:15" ht="17.5" x14ac:dyDescent="0.55000000000000004">
      <c r="A954" s="5" t="s">
        <v>1358</v>
      </c>
      <c r="B954" s="6" t="s">
        <v>41</v>
      </c>
      <c r="C954" s="6" t="s">
        <v>64</v>
      </c>
      <c r="D954" s="12" t="s">
        <v>1377</v>
      </c>
      <c r="E954" s="6" t="s">
        <v>16</v>
      </c>
      <c r="F954" s="6" t="s">
        <v>1363</v>
      </c>
      <c r="G954" s="6" t="s">
        <v>1373</v>
      </c>
      <c r="H954" s="6">
        <v>20</v>
      </c>
      <c r="I954" s="6" t="s">
        <v>1361</v>
      </c>
      <c r="J954" s="6">
        <v>2</v>
      </c>
      <c r="K954" s="7" t="str">
        <f t="shared" si="12"/>
        <v>I353</v>
      </c>
      <c r="L954" s="8"/>
      <c r="M954" s="9" t="str">
        <f t="shared" si="13"/>
        <v>KPM1573</v>
      </c>
      <c r="N954" s="9">
        <f t="shared" si="14"/>
        <v>7</v>
      </c>
      <c r="O954" s="9" t="str">
        <f t="shared" si="15"/>
        <v>K/1KPM1573</v>
      </c>
    </row>
    <row r="955" spans="1:15" ht="17.5" x14ac:dyDescent="0.55000000000000004">
      <c r="A955" s="10" t="s">
        <v>1358</v>
      </c>
      <c r="B955" s="11" t="s">
        <v>41</v>
      </c>
      <c r="C955" s="11" t="s">
        <v>1378</v>
      </c>
      <c r="D955" s="13" t="s">
        <v>1377</v>
      </c>
      <c r="E955" s="11" t="s">
        <v>50</v>
      </c>
      <c r="F955" s="11" t="s">
        <v>1363</v>
      </c>
      <c r="G955" s="11" t="s">
        <v>1373</v>
      </c>
      <c r="H955" s="11">
        <v>20</v>
      </c>
      <c r="I955" s="11" t="s">
        <v>1361</v>
      </c>
      <c r="J955" s="11">
        <v>2</v>
      </c>
      <c r="K955" s="7" t="str">
        <f t="shared" si="12"/>
        <v>I353</v>
      </c>
      <c r="L955" s="8"/>
      <c r="M955" s="9" t="str">
        <f t="shared" si="13"/>
        <v>KPM1573</v>
      </c>
      <c r="N955" s="9">
        <f t="shared" si="14"/>
        <v>7</v>
      </c>
      <c r="O955" s="9" t="str">
        <f t="shared" si="15"/>
        <v>P/1KPM1573</v>
      </c>
    </row>
    <row r="956" spans="1:15" ht="17.5" x14ac:dyDescent="0.55000000000000004">
      <c r="A956" s="5" t="s">
        <v>1358</v>
      </c>
      <c r="B956" s="6" t="s">
        <v>47</v>
      </c>
      <c r="C956" s="6" t="s">
        <v>14</v>
      </c>
      <c r="D956" s="12" t="s">
        <v>1376</v>
      </c>
      <c r="E956" s="6" t="s">
        <v>144</v>
      </c>
      <c r="F956" s="6" t="s">
        <v>1363</v>
      </c>
      <c r="G956" s="6" t="s">
        <v>17</v>
      </c>
      <c r="H956" s="6">
        <v>0</v>
      </c>
      <c r="I956" s="6" t="s">
        <v>1361</v>
      </c>
      <c r="J956" s="6">
        <v>2</v>
      </c>
      <c r="K956" s="7" t="str">
        <f t="shared" si="12"/>
        <v>I353</v>
      </c>
      <c r="L956" s="8"/>
      <c r="M956" s="9" t="str">
        <f t="shared" si="13"/>
        <v>KPM153G</v>
      </c>
      <c r="N956" s="9">
        <f t="shared" si="14"/>
        <v>7</v>
      </c>
      <c r="O956" s="9" t="str">
        <f t="shared" si="15"/>
        <v>P/2KPM153G</v>
      </c>
    </row>
    <row r="957" spans="1:15" ht="17.5" x14ac:dyDescent="0.55000000000000004">
      <c r="A957" s="10" t="s">
        <v>1358</v>
      </c>
      <c r="B957" s="11" t="s">
        <v>47</v>
      </c>
      <c r="C957" s="11" t="s">
        <v>14</v>
      </c>
      <c r="D957" s="13" t="s">
        <v>1379</v>
      </c>
      <c r="E957" s="11" t="s">
        <v>16</v>
      </c>
      <c r="F957" s="11" t="s">
        <v>1371</v>
      </c>
      <c r="G957" s="11" t="s">
        <v>17</v>
      </c>
      <c r="H957" s="11">
        <v>0</v>
      </c>
      <c r="I957" s="11" t="s">
        <v>1361</v>
      </c>
      <c r="J957" s="11">
        <v>2</v>
      </c>
      <c r="K957" s="7" t="str">
        <f t="shared" si="12"/>
        <v>I353</v>
      </c>
      <c r="L957" s="8"/>
      <c r="M957" s="9" t="str">
        <f t="shared" si="13"/>
        <v>KPM1572</v>
      </c>
      <c r="N957" s="9">
        <f t="shared" si="14"/>
        <v>7</v>
      </c>
      <c r="O957" s="9" t="str">
        <f t="shared" si="15"/>
        <v>K/1KPM1572</v>
      </c>
    </row>
    <row r="958" spans="1:15" ht="17.5" x14ac:dyDescent="0.55000000000000004">
      <c r="A958" s="5" t="s">
        <v>1358</v>
      </c>
      <c r="B958" s="6" t="s">
        <v>47</v>
      </c>
      <c r="C958" s="6" t="s">
        <v>36</v>
      </c>
      <c r="D958" s="12" t="s">
        <v>1380</v>
      </c>
      <c r="E958" s="6" t="s">
        <v>16</v>
      </c>
      <c r="F958" s="6" t="s">
        <v>1369</v>
      </c>
      <c r="G958" s="6" t="s">
        <v>17</v>
      </c>
      <c r="H958" s="6">
        <v>0</v>
      </c>
      <c r="I958" s="6" t="s">
        <v>1361</v>
      </c>
      <c r="J958" s="6">
        <v>2</v>
      </c>
      <c r="K958" s="7" t="str">
        <f t="shared" si="12"/>
        <v>I353</v>
      </c>
      <c r="L958" s="8"/>
      <c r="M958" s="9" t="str">
        <f t="shared" si="13"/>
        <v>KPM153C</v>
      </c>
      <c r="N958" s="9">
        <f t="shared" si="14"/>
        <v>7</v>
      </c>
      <c r="O958" s="9" t="str">
        <f t="shared" si="15"/>
        <v>K/1KPM153C</v>
      </c>
    </row>
    <row r="959" spans="1:15" ht="17.5" x14ac:dyDescent="0.55000000000000004">
      <c r="A959" s="10" t="s">
        <v>1381</v>
      </c>
      <c r="B959" s="11" t="s">
        <v>13</v>
      </c>
      <c r="C959" s="11" t="s">
        <v>14</v>
      </c>
      <c r="D959" s="13" t="s">
        <v>1382</v>
      </c>
      <c r="E959" s="11" t="s">
        <v>16</v>
      </c>
      <c r="F959" s="11" t="s">
        <v>1383</v>
      </c>
      <c r="G959" s="11" t="s">
        <v>17</v>
      </c>
      <c r="H959" s="11">
        <v>0</v>
      </c>
      <c r="I959" s="11" t="s">
        <v>1384</v>
      </c>
      <c r="J959" s="11">
        <v>2</v>
      </c>
      <c r="K959" s="7" t="str">
        <f t="shared" si="12"/>
        <v>K151</v>
      </c>
      <c r="L959" s="8"/>
      <c r="M959" s="9" t="str">
        <f t="shared" si="13"/>
        <v>SBI151A</v>
      </c>
      <c r="N959" s="9">
        <f t="shared" si="14"/>
        <v>7</v>
      </c>
      <c r="O959" s="9" t="str">
        <f t="shared" si="15"/>
        <v>K/1SBI151A</v>
      </c>
    </row>
    <row r="960" spans="1:15" ht="17.5" x14ac:dyDescent="0.55000000000000004">
      <c r="A960" s="5" t="s">
        <v>1381</v>
      </c>
      <c r="B960" s="6" t="s">
        <v>13</v>
      </c>
      <c r="C960" s="6" t="s">
        <v>14</v>
      </c>
      <c r="D960" s="12" t="s">
        <v>1385</v>
      </c>
      <c r="E960" s="6" t="s">
        <v>16</v>
      </c>
      <c r="F960" s="6" t="s">
        <v>1386</v>
      </c>
      <c r="G960" s="6" t="s">
        <v>17</v>
      </c>
      <c r="H960" s="6">
        <v>0</v>
      </c>
      <c r="I960" s="6" t="s">
        <v>1384</v>
      </c>
      <c r="J960" s="6">
        <v>1</v>
      </c>
      <c r="K960" s="7" t="str">
        <f t="shared" si="12"/>
        <v>K151</v>
      </c>
      <c r="L960" s="8"/>
      <c r="M960" s="9" t="str">
        <f t="shared" si="13"/>
        <v>SBI1539</v>
      </c>
      <c r="N960" s="9">
        <f t="shared" si="14"/>
        <v>7</v>
      </c>
      <c r="O960" s="9" t="str">
        <f t="shared" si="15"/>
        <v>K/1SBI1539</v>
      </c>
    </row>
    <row r="961" spans="1:15" ht="17.5" x14ac:dyDescent="0.55000000000000004">
      <c r="A961" s="10" t="s">
        <v>1381</v>
      </c>
      <c r="B961" s="11" t="s">
        <v>13</v>
      </c>
      <c r="C961" s="11" t="s">
        <v>235</v>
      </c>
      <c r="D961" s="13" t="s">
        <v>1387</v>
      </c>
      <c r="E961" s="11" t="s">
        <v>16</v>
      </c>
      <c r="F961" s="11" t="s">
        <v>1388</v>
      </c>
      <c r="G961" s="11" t="s">
        <v>17</v>
      </c>
      <c r="H961" s="11">
        <v>0</v>
      </c>
      <c r="I961" s="11" t="s">
        <v>1384</v>
      </c>
      <c r="J961" s="11">
        <v>1</v>
      </c>
      <c r="K961" s="7" t="str">
        <f t="shared" si="12"/>
        <v>K151</v>
      </c>
      <c r="L961" s="8"/>
      <c r="M961" s="9" t="str">
        <f t="shared" si="13"/>
        <v>SBI1519</v>
      </c>
      <c r="N961" s="9">
        <f t="shared" si="14"/>
        <v>7</v>
      </c>
      <c r="O961" s="9" t="str">
        <f t="shared" si="15"/>
        <v>K/1SBI1519</v>
      </c>
    </row>
    <row r="962" spans="1:15" ht="17.5" x14ac:dyDescent="0.55000000000000004">
      <c r="A962" s="5" t="s">
        <v>1381</v>
      </c>
      <c r="B962" s="6" t="s">
        <v>13</v>
      </c>
      <c r="C962" s="6" t="s">
        <v>235</v>
      </c>
      <c r="D962" s="12" t="s">
        <v>1389</v>
      </c>
      <c r="E962" s="6" t="s">
        <v>16</v>
      </c>
      <c r="F962" s="6" t="s">
        <v>1390</v>
      </c>
      <c r="G962" s="6" t="s">
        <v>17</v>
      </c>
      <c r="H962" s="6">
        <v>0</v>
      </c>
      <c r="I962" s="6" t="s">
        <v>1384</v>
      </c>
      <c r="J962" s="6">
        <v>2</v>
      </c>
      <c r="K962" s="7" t="str">
        <f t="shared" si="12"/>
        <v>K151</v>
      </c>
      <c r="L962" s="8"/>
      <c r="M962" s="9" t="str">
        <f t="shared" si="13"/>
        <v>SBI152B</v>
      </c>
      <c r="N962" s="9">
        <f t="shared" si="14"/>
        <v>7</v>
      </c>
      <c r="O962" s="9" t="str">
        <f t="shared" si="15"/>
        <v>K/1SBI152B</v>
      </c>
    </row>
    <row r="963" spans="1:15" ht="17.5" x14ac:dyDescent="0.55000000000000004">
      <c r="A963" s="10" t="s">
        <v>1381</v>
      </c>
      <c r="B963" s="11" t="s">
        <v>13</v>
      </c>
      <c r="C963" s="11" t="s">
        <v>235</v>
      </c>
      <c r="D963" s="13" t="s">
        <v>1391</v>
      </c>
      <c r="E963" s="11" t="s">
        <v>16</v>
      </c>
      <c r="F963" s="11" t="s">
        <v>1264</v>
      </c>
      <c r="G963" s="11" t="s">
        <v>17</v>
      </c>
      <c r="H963" s="11">
        <v>0</v>
      </c>
      <c r="I963" s="11" t="s">
        <v>1384</v>
      </c>
      <c r="J963" s="11">
        <v>2</v>
      </c>
      <c r="K963" s="7" t="str">
        <f t="shared" si="12"/>
        <v>K151</v>
      </c>
      <c r="L963" s="8"/>
      <c r="M963" s="9" t="str">
        <f t="shared" si="13"/>
        <v>SBI1547</v>
      </c>
      <c r="N963" s="9">
        <f t="shared" si="14"/>
        <v>7</v>
      </c>
      <c r="O963" s="9" t="str">
        <f t="shared" si="15"/>
        <v>K/1SBI1547</v>
      </c>
    </row>
    <row r="964" spans="1:15" ht="17.5" x14ac:dyDescent="0.55000000000000004">
      <c r="A964" s="5" t="s">
        <v>1381</v>
      </c>
      <c r="B964" s="6" t="s">
        <v>13</v>
      </c>
      <c r="C964" s="6" t="s">
        <v>235</v>
      </c>
      <c r="D964" s="12" t="s">
        <v>1392</v>
      </c>
      <c r="E964" s="6" t="s">
        <v>16</v>
      </c>
      <c r="F964" s="6" t="s">
        <v>1393</v>
      </c>
      <c r="G964" s="6" t="s">
        <v>17</v>
      </c>
      <c r="H964" s="6">
        <v>0</v>
      </c>
      <c r="I964" s="6" t="s">
        <v>1384</v>
      </c>
      <c r="J964" s="6">
        <v>2</v>
      </c>
      <c r="K964" s="7" t="str">
        <f t="shared" si="12"/>
        <v>K151</v>
      </c>
      <c r="L964" s="8"/>
      <c r="M964" s="9" t="str">
        <f t="shared" si="13"/>
        <v>SBI154I</v>
      </c>
      <c r="N964" s="9">
        <f t="shared" si="14"/>
        <v>7</v>
      </c>
      <c r="O964" s="9" t="str">
        <f t="shared" si="15"/>
        <v>K/1SBI154I</v>
      </c>
    </row>
    <row r="965" spans="1:15" ht="17.5" x14ac:dyDescent="0.55000000000000004">
      <c r="A965" s="10" t="s">
        <v>1381</v>
      </c>
      <c r="B965" s="11" t="s">
        <v>13</v>
      </c>
      <c r="C965" s="11" t="s">
        <v>198</v>
      </c>
      <c r="D965" s="13" t="s">
        <v>1394</v>
      </c>
      <c r="E965" s="11" t="s">
        <v>155</v>
      </c>
      <c r="F965" s="11" t="s">
        <v>1393</v>
      </c>
      <c r="G965" s="11" t="s">
        <v>17</v>
      </c>
      <c r="H965" s="11">
        <v>0</v>
      </c>
      <c r="I965" s="11" t="s">
        <v>1384</v>
      </c>
      <c r="J965" s="11">
        <v>1</v>
      </c>
      <c r="K965" s="7" t="str">
        <f t="shared" si="12"/>
        <v>K151</v>
      </c>
      <c r="L965" s="8"/>
      <c r="M965" s="9" t="str">
        <f t="shared" si="13"/>
        <v>SBI1527</v>
      </c>
      <c r="N965" s="9">
        <f t="shared" si="14"/>
        <v>7</v>
      </c>
      <c r="O965" s="9" t="str">
        <f t="shared" si="15"/>
        <v>K/2SBI1527</v>
      </c>
    </row>
    <row r="966" spans="1:15" ht="17.5" x14ac:dyDescent="0.55000000000000004">
      <c r="A966" s="5" t="s">
        <v>1381</v>
      </c>
      <c r="B966" s="6" t="s">
        <v>13</v>
      </c>
      <c r="C966" s="6" t="s">
        <v>198</v>
      </c>
      <c r="D966" s="12" t="s">
        <v>1395</v>
      </c>
      <c r="E966" s="6" t="s">
        <v>155</v>
      </c>
      <c r="F966" s="6" t="s">
        <v>904</v>
      </c>
      <c r="G966" s="6" t="s">
        <v>17</v>
      </c>
      <c r="H966" s="6">
        <v>0</v>
      </c>
      <c r="I966" s="6" t="s">
        <v>1384</v>
      </c>
      <c r="J966" s="6">
        <v>2</v>
      </c>
      <c r="K966" s="7" t="str">
        <f t="shared" si="12"/>
        <v>K151</v>
      </c>
      <c r="L966" s="8"/>
      <c r="M966" s="9" t="str">
        <f t="shared" si="13"/>
        <v>SBI1529</v>
      </c>
      <c r="N966" s="9">
        <f t="shared" si="14"/>
        <v>7</v>
      </c>
      <c r="O966" s="9" t="str">
        <f t="shared" si="15"/>
        <v>K/2SBI1529</v>
      </c>
    </row>
    <row r="967" spans="1:15" ht="17.5" x14ac:dyDescent="0.55000000000000004">
      <c r="A967" s="10" t="s">
        <v>1381</v>
      </c>
      <c r="B967" s="11" t="s">
        <v>13</v>
      </c>
      <c r="C967" s="11" t="s">
        <v>1396</v>
      </c>
      <c r="D967" s="13" t="s">
        <v>1382</v>
      </c>
      <c r="E967" s="11" t="s">
        <v>155</v>
      </c>
      <c r="F967" s="11" t="s">
        <v>1383</v>
      </c>
      <c r="G967" s="11" t="s">
        <v>17</v>
      </c>
      <c r="H967" s="11">
        <v>0</v>
      </c>
      <c r="I967" s="11" t="s">
        <v>1384</v>
      </c>
      <c r="J967" s="11">
        <v>2</v>
      </c>
      <c r="K967" s="7" t="str">
        <f t="shared" si="12"/>
        <v>K151</v>
      </c>
      <c r="L967" s="8"/>
      <c r="M967" s="9" t="str">
        <f t="shared" si="13"/>
        <v>SBI151A</v>
      </c>
      <c r="N967" s="9">
        <f t="shared" si="14"/>
        <v>7</v>
      </c>
      <c r="O967" s="9" t="str">
        <f t="shared" si="15"/>
        <v>K/2SBI151A</v>
      </c>
    </row>
    <row r="968" spans="1:15" ht="17.5" x14ac:dyDescent="0.55000000000000004">
      <c r="A968" s="5" t="s">
        <v>1381</v>
      </c>
      <c r="B968" s="6" t="s">
        <v>13</v>
      </c>
      <c r="C968" s="6" t="s">
        <v>1396</v>
      </c>
      <c r="D968" s="12" t="s">
        <v>1397</v>
      </c>
      <c r="E968" s="6" t="s">
        <v>155</v>
      </c>
      <c r="F968" s="6" t="s">
        <v>1398</v>
      </c>
      <c r="G968" s="6" t="s">
        <v>17</v>
      </c>
      <c r="H968" s="6">
        <v>0</v>
      </c>
      <c r="I968" s="6" t="s">
        <v>1384</v>
      </c>
      <c r="J968" s="6">
        <v>1</v>
      </c>
      <c r="K968" s="7" t="str">
        <f t="shared" si="12"/>
        <v>K151</v>
      </c>
      <c r="L968" s="8"/>
      <c r="M968" s="9" t="str">
        <f t="shared" si="13"/>
        <v>SBI1538</v>
      </c>
      <c r="N968" s="9">
        <f t="shared" si="14"/>
        <v>7</v>
      </c>
      <c r="O968" s="9" t="str">
        <f t="shared" si="15"/>
        <v>K/2SBI1538</v>
      </c>
    </row>
    <row r="969" spans="1:15" ht="17.5" x14ac:dyDescent="0.55000000000000004">
      <c r="A969" s="10" t="s">
        <v>1381</v>
      </c>
      <c r="B969" s="11" t="s">
        <v>31</v>
      </c>
      <c r="C969" s="11" t="s">
        <v>14</v>
      </c>
      <c r="D969" s="13" t="s">
        <v>1399</v>
      </c>
      <c r="E969" s="11" t="s">
        <v>16</v>
      </c>
      <c r="F969" s="11" t="s">
        <v>1393</v>
      </c>
      <c r="G969" s="11" t="s">
        <v>17</v>
      </c>
      <c r="H969" s="11">
        <v>0</v>
      </c>
      <c r="I969" s="11" t="s">
        <v>1384</v>
      </c>
      <c r="J969" s="11">
        <v>2</v>
      </c>
      <c r="K969" s="7" t="str">
        <f t="shared" si="12"/>
        <v>K151</v>
      </c>
      <c r="L969" s="8"/>
      <c r="M969" s="9" t="str">
        <f t="shared" si="13"/>
        <v>SBI1548</v>
      </c>
      <c r="N969" s="9">
        <f t="shared" si="14"/>
        <v>7</v>
      </c>
      <c r="O969" s="9" t="str">
        <f t="shared" si="15"/>
        <v>K/1SBI1548</v>
      </c>
    </row>
    <row r="970" spans="1:15" ht="17.5" x14ac:dyDescent="0.55000000000000004">
      <c r="A970" s="5" t="s">
        <v>1381</v>
      </c>
      <c r="B970" s="6" t="s">
        <v>31</v>
      </c>
      <c r="C970" s="6" t="s">
        <v>235</v>
      </c>
      <c r="D970" s="12" t="s">
        <v>1394</v>
      </c>
      <c r="E970" s="6" t="s">
        <v>16</v>
      </c>
      <c r="F970" s="6" t="s">
        <v>1393</v>
      </c>
      <c r="G970" s="6" t="s">
        <v>17</v>
      </c>
      <c r="H970" s="6">
        <v>0</v>
      </c>
      <c r="I970" s="6" t="s">
        <v>1384</v>
      </c>
      <c r="J970" s="6">
        <v>1</v>
      </c>
      <c r="K970" s="7" t="str">
        <f t="shared" si="12"/>
        <v>K151</v>
      </c>
      <c r="L970" s="8"/>
      <c r="M970" s="9" t="str">
        <f t="shared" si="13"/>
        <v>SBI1527</v>
      </c>
      <c r="N970" s="9">
        <f t="shared" si="14"/>
        <v>7</v>
      </c>
      <c r="O970" s="9" t="str">
        <f t="shared" si="15"/>
        <v>K/1SBI1527</v>
      </c>
    </row>
    <row r="971" spans="1:15" ht="17.5" x14ac:dyDescent="0.55000000000000004">
      <c r="A971" s="10" t="s">
        <v>1381</v>
      </c>
      <c r="B971" s="11" t="s">
        <v>31</v>
      </c>
      <c r="C971" s="11" t="s">
        <v>198</v>
      </c>
      <c r="D971" s="13" t="s">
        <v>1400</v>
      </c>
      <c r="E971" s="11" t="s">
        <v>155</v>
      </c>
      <c r="F971" s="11" t="s">
        <v>1401</v>
      </c>
      <c r="G971" s="11" t="s">
        <v>17</v>
      </c>
      <c r="H971" s="11">
        <v>0</v>
      </c>
      <c r="I971" s="11" t="s">
        <v>1384</v>
      </c>
      <c r="J971" s="11">
        <v>1</v>
      </c>
      <c r="K971" s="7" t="str">
        <f t="shared" si="12"/>
        <v>K151</v>
      </c>
      <c r="L971" s="8"/>
      <c r="M971" s="9" t="str">
        <f t="shared" si="13"/>
        <v>SBI1518</v>
      </c>
      <c r="N971" s="9">
        <f t="shared" si="14"/>
        <v>7</v>
      </c>
      <c r="O971" s="9" t="str">
        <f t="shared" si="15"/>
        <v>K/2SBI1518</v>
      </c>
    </row>
    <row r="972" spans="1:15" ht="17.5" x14ac:dyDescent="0.55000000000000004">
      <c r="A972" s="5" t="s">
        <v>1381</v>
      </c>
      <c r="B972" s="6" t="s">
        <v>31</v>
      </c>
      <c r="C972" s="6" t="s">
        <v>198</v>
      </c>
      <c r="D972" s="12" t="s">
        <v>1402</v>
      </c>
      <c r="E972" s="6" t="s">
        <v>16</v>
      </c>
      <c r="F972" s="6" t="s">
        <v>1403</v>
      </c>
      <c r="G972" s="6" t="s">
        <v>17</v>
      </c>
      <c r="H972" s="6">
        <v>0</v>
      </c>
      <c r="I972" s="6" t="s">
        <v>1384</v>
      </c>
      <c r="J972" s="6">
        <v>2</v>
      </c>
      <c r="K972" s="7" t="str">
        <f t="shared" si="12"/>
        <v>K151</v>
      </c>
      <c r="L972" s="8"/>
      <c r="M972" s="9" t="str">
        <f t="shared" si="13"/>
        <v>SBI151C</v>
      </c>
      <c r="N972" s="9">
        <f t="shared" si="14"/>
        <v>7</v>
      </c>
      <c r="O972" s="9" t="str">
        <f t="shared" si="15"/>
        <v>K/1SBI151C</v>
      </c>
    </row>
    <row r="973" spans="1:15" ht="17.5" x14ac:dyDescent="0.55000000000000004">
      <c r="A973" s="10" t="s">
        <v>1381</v>
      </c>
      <c r="B973" s="11" t="s">
        <v>31</v>
      </c>
      <c r="C973" s="11" t="s">
        <v>198</v>
      </c>
      <c r="D973" s="13" t="s">
        <v>1404</v>
      </c>
      <c r="E973" s="11" t="s">
        <v>16</v>
      </c>
      <c r="F973" s="11" t="s">
        <v>1398</v>
      </c>
      <c r="G973" s="11" t="s">
        <v>17</v>
      </c>
      <c r="H973" s="11">
        <v>0</v>
      </c>
      <c r="I973" s="11" t="s">
        <v>1384</v>
      </c>
      <c r="J973" s="11">
        <v>2</v>
      </c>
      <c r="K973" s="7" t="str">
        <f t="shared" si="12"/>
        <v>K151</v>
      </c>
      <c r="L973" s="8"/>
      <c r="M973" s="9" t="str">
        <f t="shared" si="13"/>
        <v>SBI153C</v>
      </c>
      <c r="N973" s="9">
        <f t="shared" si="14"/>
        <v>7</v>
      </c>
      <c r="O973" s="9" t="str">
        <f t="shared" si="15"/>
        <v>K/1SBI153C</v>
      </c>
    </row>
    <row r="974" spans="1:15" ht="17.5" x14ac:dyDescent="0.55000000000000004">
      <c r="A974" s="5" t="s">
        <v>1381</v>
      </c>
      <c r="B974" s="6" t="s">
        <v>31</v>
      </c>
      <c r="C974" s="6" t="s">
        <v>198</v>
      </c>
      <c r="D974" s="12" t="s">
        <v>1405</v>
      </c>
      <c r="E974" s="6" t="s">
        <v>16</v>
      </c>
      <c r="F974" s="6" t="s">
        <v>1406</v>
      </c>
      <c r="G974" s="6" t="s">
        <v>17</v>
      </c>
      <c r="H974" s="6">
        <v>0</v>
      </c>
      <c r="I974" s="6" t="s">
        <v>1384</v>
      </c>
      <c r="J974" s="6">
        <v>2</v>
      </c>
      <c r="K974" s="7" t="str">
        <f t="shared" si="12"/>
        <v>K151</v>
      </c>
      <c r="L974" s="8"/>
      <c r="M974" s="9" t="str">
        <f t="shared" si="13"/>
        <v>SBI154A</v>
      </c>
      <c r="N974" s="9">
        <f t="shared" si="14"/>
        <v>7</v>
      </c>
      <c r="O974" s="9" t="str">
        <f t="shared" si="15"/>
        <v>K/1SBI154A</v>
      </c>
    </row>
    <row r="975" spans="1:15" ht="17.5" x14ac:dyDescent="0.55000000000000004">
      <c r="A975" s="10" t="s">
        <v>1381</v>
      </c>
      <c r="B975" s="11" t="s">
        <v>31</v>
      </c>
      <c r="C975" s="11" t="s">
        <v>1396</v>
      </c>
      <c r="D975" s="13" t="s">
        <v>1407</v>
      </c>
      <c r="E975" s="11" t="s">
        <v>155</v>
      </c>
      <c r="F975" s="11" t="s">
        <v>1408</v>
      </c>
      <c r="G975" s="11" t="s">
        <v>17</v>
      </c>
      <c r="H975" s="11">
        <v>0</v>
      </c>
      <c r="I975" s="11" t="s">
        <v>1384</v>
      </c>
      <c r="J975" s="11">
        <v>1</v>
      </c>
      <c r="K975" s="7" t="str">
        <f t="shared" si="12"/>
        <v>K151</v>
      </c>
      <c r="L975" s="8"/>
      <c r="M975" s="9" t="str">
        <f t="shared" si="13"/>
        <v>SBI1528</v>
      </c>
      <c r="N975" s="9">
        <f t="shared" si="14"/>
        <v>7</v>
      </c>
      <c r="O975" s="9" t="str">
        <f t="shared" si="15"/>
        <v>K/2SBI1528</v>
      </c>
    </row>
    <row r="976" spans="1:15" ht="17.5" x14ac:dyDescent="0.55000000000000004">
      <c r="A976" s="5" t="s">
        <v>1381</v>
      </c>
      <c r="B976" s="6" t="s">
        <v>41</v>
      </c>
      <c r="C976" s="6" t="s">
        <v>235</v>
      </c>
      <c r="D976" s="12" t="s">
        <v>1397</v>
      </c>
      <c r="E976" s="6" t="s">
        <v>16</v>
      </c>
      <c r="F976" s="6" t="s">
        <v>1398</v>
      </c>
      <c r="G976" s="6" t="s">
        <v>17</v>
      </c>
      <c r="H976" s="6">
        <v>0</v>
      </c>
      <c r="I976" s="6" t="s">
        <v>1384</v>
      </c>
      <c r="J976" s="6">
        <v>1</v>
      </c>
      <c r="K976" s="7" t="str">
        <f t="shared" si="12"/>
        <v>K151</v>
      </c>
      <c r="L976" s="8"/>
      <c r="M976" s="9" t="str">
        <f t="shared" si="13"/>
        <v>SBI1538</v>
      </c>
      <c r="N976" s="9">
        <f t="shared" si="14"/>
        <v>7</v>
      </c>
      <c r="O976" s="9" t="str">
        <f t="shared" si="15"/>
        <v>K/1SBI1538</v>
      </c>
    </row>
    <row r="977" spans="1:15" ht="17.5" x14ac:dyDescent="0.55000000000000004">
      <c r="A977" s="10" t="s">
        <v>1381</v>
      </c>
      <c r="B977" s="11" t="s">
        <v>41</v>
      </c>
      <c r="C977" s="11" t="s">
        <v>235</v>
      </c>
      <c r="D977" s="13" t="s">
        <v>1409</v>
      </c>
      <c r="E977" s="11" t="s">
        <v>16</v>
      </c>
      <c r="F977" s="11" t="s">
        <v>1410</v>
      </c>
      <c r="G977" s="11" t="s">
        <v>17</v>
      </c>
      <c r="H977" s="11">
        <v>0</v>
      </c>
      <c r="I977" s="11" t="s">
        <v>1384</v>
      </c>
      <c r="J977" s="11">
        <v>2</v>
      </c>
      <c r="K977" s="7" t="str">
        <f t="shared" si="12"/>
        <v>K151</v>
      </c>
      <c r="L977" s="8"/>
      <c r="M977" s="9" t="str">
        <f t="shared" si="13"/>
        <v>SBI153A</v>
      </c>
      <c r="N977" s="9">
        <f t="shared" si="14"/>
        <v>7</v>
      </c>
      <c r="O977" s="9" t="str">
        <f t="shared" si="15"/>
        <v>K/1SBI153A</v>
      </c>
    </row>
    <row r="978" spans="1:15" ht="17.5" x14ac:dyDescent="0.55000000000000004">
      <c r="A978" s="5" t="s">
        <v>1381</v>
      </c>
      <c r="B978" s="6" t="s">
        <v>41</v>
      </c>
      <c r="C978" s="6" t="s">
        <v>198</v>
      </c>
      <c r="D978" s="12" t="s">
        <v>1387</v>
      </c>
      <c r="E978" s="6" t="s">
        <v>155</v>
      </c>
      <c r="F978" s="6" t="s">
        <v>1388</v>
      </c>
      <c r="G978" s="6" t="s">
        <v>17</v>
      </c>
      <c r="H978" s="6">
        <v>0</v>
      </c>
      <c r="I978" s="6" t="s">
        <v>1384</v>
      </c>
      <c r="J978" s="6">
        <v>1</v>
      </c>
      <c r="K978" s="7" t="str">
        <f t="shared" si="12"/>
        <v>K151</v>
      </c>
      <c r="L978" s="8"/>
      <c r="M978" s="9" t="str">
        <f t="shared" si="13"/>
        <v>SBI1519</v>
      </c>
      <c r="N978" s="9">
        <f t="shared" si="14"/>
        <v>7</v>
      </c>
      <c r="O978" s="9" t="str">
        <f t="shared" si="15"/>
        <v>K/2SBI1519</v>
      </c>
    </row>
    <row r="979" spans="1:15" ht="17.5" x14ac:dyDescent="0.55000000000000004">
      <c r="A979" s="10" t="s">
        <v>1381</v>
      </c>
      <c r="B979" s="11" t="s">
        <v>41</v>
      </c>
      <c r="C979" s="11" t="s">
        <v>198</v>
      </c>
      <c r="D979" s="13" t="s">
        <v>1411</v>
      </c>
      <c r="E979" s="11" t="s">
        <v>16</v>
      </c>
      <c r="F979" s="11" t="s">
        <v>1386</v>
      </c>
      <c r="G979" s="11" t="s">
        <v>17</v>
      </c>
      <c r="H979" s="11">
        <v>0</v>
      </c>
      <c r="I979" s="11" t="s">
        <v>1384</v>
      </c>
      <c r="J979" s="11">
        <v>2</v>
      </c>
      <c r="K979" s="7" t="str">
        <f t="shared" si="12"/>
        <v>K151</v>
      </c>
      <c r="L979" s="8"/>
      <c r="M979" s="9" t="str">
        <f t="shared" si="13"/>
        <v>SBI151B</v>
      </c>
      <c r="N979" s="9">
        <f t="shared" si="14"/>
        <v>7</v>
      </c>
      <c r="O979" s="9" t="str">
        <f t="shared" si="15"/>
        <v>K/1SBI151B</v>
      </c>
    </row>
    <row r="980" spans="1:15" ht="17.5" x14ac:dyDescent="0.55000000000000004">
      <c r="A980" s="5" t="s">
        <v>1381</v>
      </c>
      <c r="B980" s="6" t="s">
        <v>41</v>
      </c>
      <c r="C980" s="6" t="s">
        <v>198</v>
      </c>
      <c r="D980" s="12" t="s">
        <v>1412</v>
      </c>
      <c r="E980" s="6" t="s">
        <v>16</v>
      </c>
      <c r="F980" s="6" t="s">
        <v>1398</v>
      </c>
      <c r="G980" s="6" t="s">
        <v>17</v>
      </c>
      <c r="H980" s="6">
        <v>0</v>
      </c>
      <c r="I980" s="6" t="s">
        <v>1384</v>
      </c>
      <c r="J980" s="6">
        <v>2</v>
      </c>
      <c r="K980" s="7" t="str">
        <f t="shared" si="12"/>
        <v>K151</v>
      </c>
      <c r="L980" s="8"/>
      <c r="M980" s="9" t="str">
        <f t="shared" si="13"/>
        <v>SBI153B</v>
      </c>
      <c r="N980" s="9">
        <f t="shared" si="14"/>
        <v>7</v>
      </c>
      <c r="O980" s="9" t="str">
        <f t="shared" si="15"/>
        <v>K/1SBI153B</v>
      </c>
    </row>
    <row r="981" spans="1:15" ht="17.5" x14ac:dyDescent="0.55000000000000004">
      <c r="A981" s="10" t="s">
        <v>1381</v>
      </c>
      <c r="B981" s="11" t="s">
        <v>41</v>
      </c>
      <c r="C981" s="11" t="s">
        <v>198</v>
      </c>
      <c r="D981" s="13" t="s">
        <v>1413</v>
      </c>
      <c r="E981" s="11" t="s">
        <v>16</v>
      </c>
      <c r="F981" s="11" t="s">
        <v>1201</v>
      </c>
      <c r="G981" s="11" t="s">
        <v>17</v>
      </c>
      <c r="H981" s="11">
        <v>0</v>
      </c>
      <c r="I981" s="11" t="s">
        <v>1384</v>
      </c>
      <c r="J981" s="11">
        <v>2</v>
      </c>
      <c r="K981" s="7" t="str">
        <f t="shared" si="12"/>
        <v>K151</v>
      </c>
      <c r="L981" s="8"/>
      <c r="M981" s="9" t="str">
        <f t="shared" si="13"/>
        <v>SBI1549</v>
      </c>
      <c r="N981" s="9">
        <f t="shared" si="14"/>
        <v>7</v>
      </c>
      <c r="O981" s="9" t="str">
        <f t="shared" si="15"/>
        <v>K/1SBI1549</v>
      </c>
    </row>
    <row r="982" spans="1:15" ht="17.5" x14ac:dyDescent="0.55000000000000004">
      <c r="A982" s="5" t="s">
        <v>1381</v>
      </c>
      <c r="B982" s="6" t="s">
        <v>41</v>
      </c>
      <c r="C982" s="6" t="s">
        <v>1396</v>
      </c>
      <c r="D982" s="12" t="s">
        <v>1385</v>
      </c>
      <c r="E982" s="6" t="s">
        <v>155</v>
      </c>
      <c r="F982" s="6" t="s">
        <v>1386</v>
      </c>
      <c r="G982" s="6" t="s">
        <v>17</v>
      </c>
      <c r="H982" s="6">
        <v>0</v>
      </c>
      <c r="I982" s="6" t="s">
        <v>1384</v>
      </c>
      <c r="J982" s="6">
        <v>1</v>
      </c>
      <c r="K982" s="7" t="str">
        <f t="shared" si="12"/>
        <v>K151</v>
      </c>
      <c r="L982" s="8"/>
      <c r="M982" s="9" t="str">
        <f t="shared" si="13"/>
        <v>SBI1539</v>
      </c>
      <c r="N982" s="9">
        <f t="shared" si="14"/>
        <v>7</v>
      </c>
      <c r="O982" s="9" t="str">
        <f t="shared" si="15"/>
        <v>K/2SBI1539</v>
      </c>
    </row>
    <row r="983" spans="1:15" ht="17.5" x14ac:dyDescent="0.55000000000000004">
      <c r="A983" s="10" t="s">
        <v>1381</v>
      </c>
      <c r="B983" s="11" t="s">
        <v>41</v>
      </c>
      <c r="C983" s="11" t="s">
        <v>1396</v>
      </c>
      <c r="D983" s="13" t="s">
        <v>1409</v>
      </c>
      <c r="E983" s="11" t="s">
        <v>155</v>
      </c>
      <c r="F983" s="11" t="s">
        <v>1410</v>
      </c>
      <c r="G983" s="11" t="s">
        <v>17</v>
      </c>
      <c r="H983" s="11">
        <v>0</v>
      </c>
      <c r="I983" s="11" t="s">
        <v>1384</v>
      </c>
      <c r="J983" s="11">
        <v>2</v>
      </c>
      <c r="K983" s="7" t="str">
        <f t="shared" si="12"/>
        <v>K151</v>
      </c>
      <c r="L983" s="8"/>
      <c r="M983" s="9" t="str">
        <f t="shared" si="13"/>
        <v>SBI153A</v>
      </c>
      <c r="N983" s="9">
        <f t="shared" si="14"/>
        <v>7</v>
      </c>
      <c r="O983" s="9" t="str">
        <f t="shared" si="15"/>
        <v>K/2SBI153A</v>
      </c>
    </row>
    <row r="984" spans="1:15" ht="17.5" x14ac:dyDescent="0.55000000000000004">
      <c r="A984" s="5" t="s">
        <v>1381</v>
      </c>
      <c r="B984" s="6" t="s">
        <v>47</v>
      </c>
      <c r="C984" s="6" t="s">
        <v>14</v>
      </c>
      <c r="D984" s="12" t="s">
        <v>1400</v>
      </c>
      <c r="E984" s="6" t="s">
        <v>16</v>
      </c>
      <c r="F984" s="6" t="s">
        <v>1401</v>
      </c>
      <c r="G984" s="6" t="s">
        <v>17</v>
      </c>
      <c r="H984" s="6">
        <v>0</v>
      </c>
      <c r="I984" s="6" t="s">
        <v>1384</v>
      </c>
      <c r="J984" s="6">
        <v>1</v>
      </c>
      <c r="K984" s="7" t="str">
        <f t="shared" si="12"/>
        <v>K151</v>
      </c>
      <c r="L984" s="8"/>
      <c r="M984" s="9" t="str">
        <f t="shared" si="13"/>
        <v>SBI1518</v>
      </c>
      <c r="N984" s="9">
        <f t="shared" si="14"/>
        <v>7</v>
      </c>
      <c r="O984" s="9" t="str">
        <f t="shared" si="15"/>
        <v>K/1SBI1518</v>
      </c>
    </row>
    <row r="985" spans="1:15" ht="17.5" x14ac:dyDescent="0.55000000000000004">
      <c r="A985" s="10" t="s">
        <v>1381</v>
      </c>
      <c r="B985" s="11" t="s">
        <v>47</v>
      </c>
      <c r="C985" s="11" t="s">
        <v>235</v>
      </c>
      <c r="D985" s="13" t="s">
        <v>1414</v>
      </c>
      <c r="E985" s="11" t="s">
        <v>16</v>
      </c>
      <c r="F985" s="11" t="s">
        <v>1393</v>
      </c>
      <c r="G985" s="11" t="s">
        <v>17</v>
      </c>
      <c r="H985" s="11">
        <v>0</v>
      </c>
      <c r="I985" s="11" t="s">
        <v>1384</v>
      </c>
      <c r="J985" s="11">
        <v>2</v>
      </c>
      <c r="K985" s="7" t="str">
        <f t="shared" si="12"/>
        <v>K151</v>
      </c>
      <c r="L985" s="8"/>
      <c r="M985" s="9" t="str">
        <f t="shared" si="13"/>
        <v>SBI152A</v>
      </c>
      <c r="N985" s="9">
        <f t="shared" si="14"/>
        <v>7</v>
      </c>
      <c r="O985" s="9" t="str">
        <f t="shared" si="15"/>
        <v>K/1SBI152A</v>
      </c>
    </row>
    <row r="986" spans="1:15" ht="17.5" x14ac:dyDescent="0.55000000000000004">
      <c r="A986" s="5" t="s">
        <v>1381</v>
      </c>
      <c r="B986" s="6" t="s">
        <v>47</v>
      </c>
      <c r="C986" s="6" t="s">
        <v>235</v>
      </c>
      <c r="D986" s="12" t="s">
        <v>1415</v>
      </c>
      <c r="E986" s="6" t="s">
        <v>16</v>
      </c>
      <c r="F986" s="6" t="s">
        <v>1416</v>
      </c>
      <c r="G986" s="6" t="s">
        <v>17</v>
      </c>
      <c r="H986" s="6">
        <v>0</v>
      </c>
      <c r="I986" s="6" t="s">
        <v>1384</v>
      </c>
      <c r="J986" s="6">
        <v>2</v>
      </c>
      <c r="K986" s="7" t="str">
        <f t="shared" si="12"/>
        <v>K151</v>
      </c>
      <c r="L986" s="8"/>
      <c r="M986" s="9" t="str">
        <f t="shared" si="13"/>
        <v>SBI1546</v>
      </c>
      <c r="N986" s="9">
        <f t="shared" si="14"/>
        <v>7</v>
      </c>
      <c r="O986" s="9" t="str">
        <f t="shared" si="15"/>
        <v>K/1SBI1546</v>
      </c>
    </row>
    <row r="987" spans="1:15" ht="17.5" x14ac:dyDescent="0.55000000000000004">
      <c r="A987" s="10" t="s">
        <v>1381</v>
      </c>
      <c r="B987" s="11" t="s">
        <v>47</v>
      </c>
      <c r="C987" s="11" t="s">
        <v>235</v>
      </c>
      <c r="D987" s="13" t="s">
        <v>1417</v>
      </c>
      <c r="E987" s="11" t="s">
        <v>16</v>
      </c>
      <c r="F987" s="11" t="s">
        <v>1206</v>
      </c>
      <c r="G987" s="11" t="s">
        <v>17</v>
      </c>
      <c r="H987" s="11">
        <v>0</v>
      </c>
      <c r="I987" s="11" t="s">
        <v>1384</v>
      </c>
      <c r="J987" s="11">
        <v>2</v>
      </c>
      <c r="K987" s="7" t="str">
        <f t="shared" si="12"/>
        <v>K151</v>
      </c>
      <c r="L987" s="8"/>
      <c r="M987" s="9" t="str">
        <f t="shared" si="13"/>
        <v>SBI154H</v>
      </c>
      <c r="N987" s="9">
        <f t="shared" si="14"/>
        <v>7</v>
      </c>
      <c r="O987" s="9" t="str">
        <f t="shared" si="15"/>
        <v>K/1SBI154H</v>
      </c>
    </row>
    <row r="988" spans="1:15" ht="17.5" x14ac:dyDescent="0.55000000000000004">
      <c r="A988" s="5" t="s">
        <v>1381</v>
      </c>
      <c r="B988" s="6" t="s">
        <v>47</v>
      </c>
      <c r="C988" s="6" t="s">
        <v>198</v>
      </c>
      <c r="D988" s="12" t="s">
        <v>1397</v>
      </c>
      <c r="E988" s="6" t="s">
        <v>1418</v>
      </c>
      <c r="F988" s="6" t="s">
        <v>1398</v>
      </c>
      <c r="G988" s="6" t="s">
        <v>17</v>
      </c>
      <c r="H988" s="6">
        <v>0</v>
      </c>
      <c r="I988" s="6" t="s">
        <v>1384</v>
      </c>
      <c r="J988" s="6">
        <v>1</v>
      </c>
      <c r="K988" s="7" t="str">
        <f t="shared" si="12"/>
        <v>K151</v>
      </c>
      <c r="L988" s="8"/>
      <c r="M988" s="9" t="str">
        <f t="shared" si="13"/>
        <v>SBI1538</v>
      </c>
      <c r="N988" s="9">
        <f t="shared" si="14"/>
        <v>7</v>
      </c>
      <c r="O988" s="9" t="str">
        <f t="shared" si="15"/>
        <v>K/3SBI1538</v>
      </c>
    </row>
    <row r="989" spans="1:15" ht="17.5" x14ac:dyDescent="0.55000000000000004">
      <c r="A989" s="10" t="s">
        <v>1381</v>
      </c>
      <c r="B989" s="11" t="s">
        <v>47</v>
      </c>
      <c r="C989" s="11" t="s">
        <v>198</v>
      </c>
      <c r="D989" s="13" t="s">
        <v>1399</v>
      </c>
      <c r="E989" s="11" t="s">
        <v>155</v>
      </c>
      <c r="F989" s="11" t="s">
        <v>1393</v>
      </c>
      <c r="G989" s="11" t="s">
        <v>17</v>
      </c>
      <c r="H989" s="11">
        <v>0</v>
      </c>
      <c r="I989" s="11" t="s">
        <v>1384</v>
      </c>
      <c r="J989" s="11">
        <v>2</v>
      </c>
      <c r="K989" s="7" t="str">
        <f t="shared" si="12"/>
        <v>K151</v>
      </c>
      <c r="L989" s="8"/>
      <c r="M989" s="9" t="str">
        <f t="shared" si="13"/>
        <v>SBI1548</v>
      </c>
      <c r="N989" s="9">
        <f t="shared" si="14"/>
        <v>7</v>
      </c>
      <c r="O989" s="9" t="str">
        <f t="shared" si="15"/>
        <v>K/2SBI1548</v>
      </c>
    </row>
    <row r="990" spans="1:15" ht="17.5" x14ac:dyDescent="0.55000000000000004">
      <c r="A990" s="5" t="s">
        <v>1381</v>
      </c>
      <c r="B990" s="6" t="s">
        <v>52</v>
      </c>
      <c r="C990" s="6" t="s">
        <v>14</v>
      </c>
      <c r="D990" s="12" t="s">
        <v>1407</v>
      </c>
      <c r="E990" s="6" t="s">
        <v>16</v>
      </c>
      <c r="F990" s="6" t="s">
        <v>1408</v>
      </c>
      <c r="G990" s="6" t="s">
        <v>17</v>
      </c>
      <c r="H990" s="6">
        <v>0</v>
      </c>
      <c r="I990" s="6" t="s">
        <v>1384</v>
      </c>
      <c r="J990" s="6">
        <v>1</v>
      </c>
      <c r="K990" s="7" t="str">
        <f t="shared" si="12"/>
        <v>K151</v>
      </c>
      <c r="L990" s="8"/>
      <c r="M990" s="9" t="str">
        <f t="shared" si="13"/>
        <v>SBI1528</v>
      </c>
      <c r="N990" s="9">
        <f t="shared" si="14"/>
        <v>7</v>
      </c>
      <c r="O990" s="9" t="str">
        <f t="shared" si="15"/>
        <v>K/1SBI1528</v>
      </c>
    </row>
    <row r="991" spans="1:15" ht="17.5" x14ac:dyDescent="0.55000000000000004">
      <c r="A991" s="10" t="s">
        <v>1381</v>
      </c>
      <c r="B991" s="11" t="s">
        <v>52</v>
      </c>
      <c r="C991" s="11" t="s">
        <v>14</v>
      </c>
      <c r="D991" s="13" t="s">
        <v>1395</v>
      </c>
      <c r="E991" s="11" t="s">
        <v>16</v>
      </c>
      <c r="F991" s="11" t="s">
        <v>904</v>
      </c>
      <c r="G991" s="11" t="s">
        <v>17</v>
      </c>
      <c r="H991" s="11">
        <v>0</v>
      </c>
      <c r="I991" s="11" t="s">
        <v>1384</v>
      </c>
      <c r="J991" s="11">
        <v>2</v>
      </c>
      <c r="K991" s="7" t="str">
        <f t="shared" si="12"/>
        <v>K151</v>
      </c>
      <c r="L991" s="8"/>
      <c r="M991" s="9" t="str">
        <f t="shared" si="13"/>
        <v>SBI1529</v>
      </c>
      <c r="N991" s="9">
        <f t="shared" si="14"/>
        <v>7</v>
      </c>
      <c r="O991" s="9" t="str">
        <f t="shared" si="15"/>
        <v>K/1SBI1529</v>
      </c>
    </row>
    <row r="992" spans="1:15" ht="17.5" x14ac:dyDescent="0.55000000000000004">
      <c r="A992" s="5" t="s">
        <v>1381</v>
      </c>
      <c r="B992" s="6" t="s">
        <v>52</v>
      </c>
      <c r="C992" s="6" t="s">
        <v>198</v>
      </c>
      <c r="D992" s="12" t="s">
        <v>1402</v>
      </c>
      <c r="E992" s="6" t="s">
        <v>155</v>
      </c>
      <c r="F992" s="6" t="s">
        <v>1403</v>
      </c>
      <c r="G992" s="6" t="s">
        <v>17</v>
      </c>
      <c r="H992" s="6">
        <v>0</v>
      </c>
      <c r="I992" s="6" t="s">
        <v>1384</v>
      </c>
      <c r="J992" s="6">
        <v>2</v>
      </c>
      <c r="K992" s="7" t="str">
        <f t="shared" si="12"/>
        <v>K151</v>
      </c>
      <c r="L992" s="8"/>
      <c r="M992" s="9" t="str">
        <f t="shared" si="13"/>
        <v>SBI151C</v>
      </c>
      <c r="N992" s="9">
        <f t="shared" si="14"/>
        <v>7</v>
      </c>
      <c r="O992" s="9" t="str">
        <f t="shared" si="15"/>
        <v>K/2SBI151C</v>
      </c>
    </row>
    <row r="993" spans="1:15" ht="17.5" x14ac:dyDescent="0.55000000000000004">
      <c r="A993" s="10" t="s">
        <v>1381</v>
      </c>
      <c r="B993" s="11" t="s">
        <v>52</v>
      </c>
      <c r="C993" s="11" t="s">
        <v>198</v>
      </c>
      <c r="D993" s="13" t="s">
        <v>1394</v>
      </c>
      <c r="E993" s="11" t="s">
        <v>1418</v>
      </c>
      <c r="F993" s="11" t="s">
        <v>1393</v>
      </c>
      <c r="G993" s="11" t="s">
        <v>17</v>
      </c>
      <c r="H993" s="11">
        <v>0</v>
      </c>
      <c r="I993" s="11" t="s">
        <v>1384</v>
      </c>
      <c r="J993" s="11">
        <v>1</v>
      </c>
      <c r="K993" s="7" t="str">
        <f t="shared" si="12"/>
        <v>K151</v>
      </c>
      <c r="L993" s="8"/>
      <c r="M993" s="9" t="str">
        <f t="shared" si="13"/>
        <v>SBI1527</v>
      </c>
      <c r="N993" s="9">
        <f t="shared" si="14"/>
        <v>7</v>
      </c>
      <c r="O993" s="9" t="str">
        <f t="shared" si="15"/>
        <v>K/3SBI1527</v>
      </c>
    </row>
    <row r="994" spans="1:15" ht="17.5" x14ac:dyDescent="0.55000000000000004">
      <c r="A994" s="5" t="s">
        <v>1381</v>
      </c>
      <c r="B994" s="6" t="s">
        <v>52</v>
      </c>
      <c r="C994" s="6" t="s">
        <v>198</v>
      </c>
      <c r="D994" s="12" t="s">
        <v>1391</v>
      </c>
      <c r="E994" s="6" t="s">
        <v>155</v>
      </c>
      <c r="F994" s="6" t="s">
        <v>1264</v>
      </c>
      <c r="G994" s="6" t="s">
        <v>17</v>
      </c>
      <c r="H994" s="6">
        <v>0</v>
      </c>
      <c r="I994" s="6" t="s">
        <v>1384</v>
      </c>
      <c r="J994" s="6">
        <v>2</v>
      </c>
      <c r="K994" s="7" t="str">
        <f t="shared" si="12"/>
        <v>K151</v>
      </c>
      <c r="L994" s="8"/>
      <c r="M994" s="9" t="str">
        <f t="shared" si="13"/>
        <v>SBI1547</v>
      </c>
      <c r="N994" s="9">
        <f t="shared" si="14"/>
        <v>7</v>
      </c>
      <c r="O994" s="9" t="str">
        <f t="shared" si="15"/>
        <v>K/2SBI1547</v>
      </c>
    </row>
    <row r="995" spans="1:15" ht="17.5" x14ac:dyDescent="0.55000000000000004">
      <c r="A995" s="10" t="s">
        <v>1381</v>
      </c>
      <c r="B995" s="11" t="s">
        <v>52</v>
      </c>
      <c r="C995" s="11" t="s">
        <v>198</v>
      </c>
      <c r="D995" s="13" t="s">
        <v>1419</v>
      </c>
      <c r="E995" s="11" t="s">
        <v>16</v>
      </c>
      <c r="F995" s="11" t="s">
        <v>1229</v>
      </c>
      <c r="G995" s="11" t="s">
        <v>17</v>
      </c>
      <c r="H995" s="11">
        <v>0</v>
      </c>
      <c r="I995" s="11" t="s">
        <v>1384</v>
      </c>
      <c r="J995" s="11">
        <v>2</v>
      </c>
      <c r="K995" s="7" t="str">
        <f t="shared" si="12"/>
        <v>K151</v>
      </c>
      <c r="L995" s="8"/>
      <c r="M995" s="9" t="str">
        <f t="shared" si="13"/>
        <v>SBI154E</v>
      </c>
      <c r="N995" s="9">
        <f t="shared" si="14"/>
        <v>7</v>
      </c>
      <c r="O995" s="9" t="str">
        <f t="shared" si="15"/>
        <v>K/1SBI154E</v>
      </c>
    </row>
    <row r="996" spans="1:15" ht="17.5" x14ac:dyDescent="0.55000000000000004">
      <c r="A996" s="5" t="s">
        <v>1381</v>
      </c>
      <c r="B996" s="6" t="s">
        <v>52</v>
      </c>
      <c r="C996" s="6" t="s">
        <v>198</v>
      </c>
      <c r="D996" s="12" t="s">
        <v>1392</v>
      </c>
      <c r="E996" s="6" t="s">
        <v>155</v>
      </c>
      <c r="F996" s="6" t="s">
        <v>1393</v>
      </c>
      <c r="G996" s="6" t="s">
        <v>17</v>
      </c>
      <c r="H996" s="6">
        <v>0</v>
      </c>
      <c r="I996" s="6" t="s">
        <v>1384</v>
      </c>
      <c r="J996" s="6">
        <v>2</v>
      </c>
      <c r="K996" s="7" t="str">
        <f t="shared" si="12"/>
        <v>K151</v>
      </c>
      <c r="L996" s="8"/>
      <c r="M996" s="9" t="str">
        <f t="shared" si="13"/>
        <v>SBI154I</v>
      </c>
      <c r="N996" s="9">
        <f t="shared" si="14"/>
        <v>7</v>
      </c>
      <c r="O996" s="9" t="str">
        <f t="shared" si="15"/>
        <v>K/2SBI154I</v>
      </c>
    </row>
    <row r="997" spans="1:15" ht="17.5" x14ac:dyDescent="0.55000000000000004">
      <c r="A997" s="10" t="s">
        <v>1381</v>
      </c>
      <c r="B997" s="11" t="s">
        <v>195</v>
      </c>
      <c r="C997" s="11" t="s">
        <v>821</v>
      </c>
      <c r="D997" s="13" t="s">
        <v>1420</v>
      </c>
      <c r="E997" s="11" t="s">
        <v>1421</v>
      </c>
      <c r="F997" s="11" t="s">
        <v>1422</v>
      </c>
      <c r="G997" s="11" t="s">
        <v>17</v>
      </c>
      <c r="H997" s="11">
        <v>0</v>
      </c>
      <c r="I997" s="11" t="s">
        <v>1384</v>
      </c>
      <c r="J997" s="11">
        <v>2</v>
      </c>
      <c r="K997" s="7" t="str">
        <f t="shared" si="12"/>
        <v>K151</v>
      </c>
      <c r="L997" s="8"/>
      <c r="M997" s="9" t="str">
        <f t="shared" si="13"/>
        <v>PPS1503</v>
      </c>
      <c r="N997" s="9">
        <f t="shared" si="14"/>
        <v>7</v>
      </c>
      <c r="O997" s="9" t="str">
        <f t="shared" si="15"/>
        <v>K/5PPS1503</v>
      </c>
    </row>
    <row r="998" spans="1:15" ht="17.5" x14ac:dyDescent="0.55000000000000004">
      <c r="A998" s="5" t="s">
        <v>1381</v>
      </c>
      <c r="B998" s="6" t="s">
        <v>195</v>
      </c>
      <c r="C998" s="6" t="s">
        <v>14</v>
      </c>
      <c r="D998" s="12" t="s">
        <v>1400</v>
      </c>
      <c r="E998" s="6" t="s">
        <v>1418</v>
      </c>
      <c r="F998" s="6" t="s">
        <v>1401</v>
      </c>
      <c r="G998" s="6" t="s">
        <v>17</v>
      </c>
      <c r="H998" s="6">
        <v>0</v>
      </c>
      <c r="I998" s="6" t="s">
        <v>1384</v>
      </c>
      <c r="J998" s="6">
        <v>1</v>
      </c>
      <c r="K998" s="7" t="str">
        <f t="shared" si="12"/>
        <v>K151</v>
      </c>
      <c r="L998" s="8"/>
      <c r="M998" s="9" t="str">
        <f t="shared" si="13"/>
        <v>SBI1518</v>
      </c>
      <c r="N998" s="9">
        <f t="shared" si="14"/>
        <v>7</v>
      </c>
      <c r="O998" s="9" t="str">
        <f t="shared" si="15"/>
        <v>K/3SBI1518</v>
      </c>
    </row>
    <row r="999" spans="1:15" ht="17.5" x14ac:dyDescent="0.55000000000000004">
      <c r="A999" s="10" t="s">
        <v>1381</v>
      </c>
      <c r="B999" s="11" t="s">
        <v>195</v>
      </c>
      <c r="C999" s="11" t="s">
        <v>14</v>
      </c>
      <c r="D999" s="13" t="s">
        <v>1395</v>
      </c>
      <c r="E999" s="11" t="s">
        <v>1418</v>
      </c>
      <c r="F999" s="11" t="s">
        <v>904</v>
      </c>
      <c r="G999" s="11" t="s">
        <v>17</v>
      </c>
      <c r="H999" s="11">
        <v>0</v>
      </c>
      <c r="I999" s="11" t="s">
        <v>1384</v>
      </c>
      <c r="J999" s="11">
        <v>2</v>
      </c>
      <c r="K999" s="7" t="str">
        <f t="shared" si="12"/>
        <v>K151</v>
      </c>
      <c r="L999" s="8"/>
      <c r="M999" s="9" t="str">
        <f t="shared" si="13"/>
        <v>SBI1529</v>
      </c>
      <c r="N999" s="9">
        <f t="shared" si="14"/>
        <v>7</v>
      </c>
      <c r="O999" s="9" t="str">
        <f t="shared" si="15"/>
        <v>K/3SBI1529</v>
      </c>
    </row>
    <row r="1000" spans="1:15" ht="17.5" x14ac:dyDescent="0.55000000000000004">
      <c r="A1000" s="5" t="s">
        <v>1381</v>
      </c>
      <c r="B1000" s="6" t="s">
        <v>195</v>
      </c>
      <c r="C1000" s="6" t="s">
        <v>25</v>
      </c>
      <c r="D1000" s="12" t="s">
        <v>1382</v>
      </c>
      <c r="E1000" s="6" t="s">
        <v>1418</v>
      </c>
      <c r="F1000" s="6" t="s">
        <v>1383</v>
      </c>
      <c r="G1000" s="6" t="s">
        <v>17</v>
      </c>
      <c r="H1000" s="6">
        <v>0</v>
      </c>
      <c r="I1000" s="6" t="s">
        <v>1384</v>
      </c>
      <c r="J1000" s="6">
        <v>2</v>
      </c>
      <c r="K1000" s="7" t="str">
        <f t="shared" si="12"/>
        <v>K151</v>
      </c>
      <c r="L1000" s="8"/>
      <c r="M1000" s="9" t="str">
        <f t="shared" si="13"/>
        <v>SBI151A</v>
      </c>
      <c r="N1000" s="9">
        <f t="shared" si="14"/>
        <v>7</v>
      </c>
      <c r="O1000" s="9" t="str">
        <f t="shared" si="15"/>
        <v>K/3SBI151A</v>
      </c>
    </row>
    <row r="1001" spans="1:15" ht="17.5" x14ac:dyDescent="0.55000000000000004">
      <c r="A1001" s="10" t="s">
        <v>1381</v>
      </c>
      <c r="B1001" s="11" t="s">
        <v>195</v>
      </c>
      <c r="C1001" s="11" t="s">
        <v>25</v>
      </c>
      <c r="D1001" s="13" t="s">
        <v>1407</v>
      </c>
      <c r="E1001" s="11" t="s">
        <v>1418</v>
      </c>
      <c r="F1001" s="11" t="s">
        <v>1408</v>
      </c>
      <c r="G1001" s="11" t="s">
        <v>17</v>
      </c>
      <c r="H1001" s="11">
        <v>0</v>
      </c>
      <c r="I1001" s="11" t="s">
        <v>1384</v>
      </c>
      <c r="J1001" s="11">
        <v>1</v>
      </c>
      <c r="K1001" s="7" t="str">
        <f t="shared" si="12"/>
        <v>K151</v>
      </c>
      <c r="L1001" s="8"/>
      <c r="M1001" s="9" t="str">
        <f t="shared" si="13"/>
        <v>SBI1528</v>
      </c>
      <c r="N1001" s="9">
        <f t="shared" si="14"/>
        <v>7</v>
      </c>
      <c r="O1001" s="9" t="str">
        <f t="shared" si="15"/>
        <v>K/3SBI1528</v>
      </c>
    </row>
    <row r="1002" spans="1:15" ht="17.5" x14ac:dyDescent="0.55000000000000004">
      <c r="A1002" s="5" t="s">
        <v>1381</v>
      </c>
      <c r="B1002" s="6" t="s">
        <v>195</v>
      </c>
      <c r="C1002" s="6" t="s">
        <v>235</v>
      </c>
      <c r="D1002" s="12" t="s">
        <v>1387</v>
      </c>
      <c r="E1002" s="6" t="s">
        <v>1418</v>
      </c>
      <c r="F1002" s="6" t="s">
        <v>1388</v>
      </c>
      <c r="G1002" s="6" t="s">
        <v>17</v>
      </c>
      <c r="H1002" s="6">
        <v>0</v>
      </c>
      <c r="I1002" s="6" t="s">
        <v>1384</v>
      </c>
      <c r="J1002" s="6">
        <v>1</v>
      </c>
      <c r="K1002" s="7" t="str">
        <f t="shared" si="12"/>
        <v>K151</v>
      </c>
      <c r="L1002" s="8"/>
      <c r="M1002" s="9" t="str">
        <f t="shared" si="13"/>
        <v>SBI1519</v>
      </c>
      <c r="N1002" s="9">
        <f t="shared" si="14"/>
        <v>7</v>
      </c>
      <c r="O1002" s="9" t="str">
        <f t="shared" si="15"/>
        <v>K/3SBI1519</v>
      </c>
    </row>
    <row r="1003" spans="1:15" ht="17.5" x14ac:dyDescent="0.55000000000000004">
      <c r="A1003" s="10" t="s">
        <v>1381</v>
      </c>
      <c r="B1003" s="11" t="s">
        <v>195</v>
      </c>
      <c r="C1003" s="11" t="s">
        <v>235</v>
      </c>
      <c r="D1003" s="13" t="s">
        <v>1411</v>
      </c>
      <c r="E1003" s="11" t="s">
        <v>155</v>
      </c>
      <c r="F1003" s="11" t="s">
        <v>1386</v>
      </c>
      <c r="G1003" s="11" t="s">
        <v>17</v>
      </c>
      <c r="H1003" s="11">
        <v>0</v>
      </c>
      <c r="I1003" s="11" t="s">
        <v>1384</v>
      </c>
      <c r="J1003" s="11">
        <v>2</v>
      </c>
      <c r="K1003" s="7" t="str">
        <f t="shared" si="12"/>
        <v>K151</v>
      </c>
      <c r="L1003" s="8"/>
      <c r="M1003" s="9" t="str">
        <f t="shared" si="13"/>
        <v>SBI151B</v>
      </c>
      <c r="N1003" s="9">
        <f t="shared" si="14"/>
        <v>7</v>
      </c>
      <c r="O1003" s="9" t="str">
        <f t="shared" si="15"/>
        <v>K/2SBI151B</v>
      </c>
    </row>
    <row r="1004" spans="1:15" ht="17.5" x14ac:dyDescent="0.55000000000000004">
      <c r="A1004" s="5" t="s">
        <v>1381</v>
      </c>
      <c r="B1004" s="6" t="s">
        <v>195</v>
      </c>
      <c r="C1004" s="6" t="s">
        <v>235</v>
      </c>
      <c r="D1004" s="12" t="s">
        <v>1415</v>
      </c>
      <c r="E1004" s="6" t="s">
        <v>155</v>
      </c>
      <c r="F1004" s="6" t="s">
        <v>1416</v>
      </c>
      <c r="G1004" s="6" t="s">
        <v>17</v>
      </c>
      <c r="H1004" s="6">
        <v>0</v>
      </c>
      <c r="I1004" s="6" t="s">
        <v>1384</v>
      </c>
      <c r="J1004" s="6">
        <v>2</v>
      </c>
      <c r="K1004" s="7" t="str">
        <f t="shared" si="12"/>
        <v>K151</v>
      </c>
      <c r="L1004" s="8"/>
      <c r="M1004" s="9" t="str">
        <f t="shared" si="13"/>
        <v>SBI1546</v>
      </c>
      <c r="N1004" s="9">
        <f t="shared" si="14"/>
        <v>7</v>
      </c>
      <c r="O1004" s="9" t="str">
        <f t="shared" si="15"/>
        <v>K/2SBI1546</v>
      </c>
    </row>
    <row r="1005" spans="1:15" ht="17.5" x14ac:dyDescent="0.55000000000000004">
      <c r="A1005" s="10" t="s">
        <v>1381</v>
      </c>
      <c r="B1005" s="11" t="s">
        <v>195</v>
      </c>
      <c r="C1005" s="11" t="s">
        <v>235</v>
      </c>
      <c r="D1005" s="13" t="s">
        <v>1423</v>
      </c>
      <c r="E1005" s="11" t="s">
        <v>16</v>
      </c>
      <c r="F1005" s="11" t="s">
        <v>1424</v>
      </c>
      <c r="G1005" s="11" t="s">
        <v>17</v>
      </c>
      <c r="H1005" s="11">
        <v>0</v>
      </c>
      <c r="I1005" s="11" t="s">
        <v>1384</v>
      </c>
      <c r="J1005" s="11">
        <v>2</v>
      </c>
      <c r="K1005" s="7" t="str">
        <f t="shared" si="12"/>
        <v>K151</v>
      </c>
      <c r="L1005" s="8"/>
      <c r="M1005" s="9" t="str">
        <f t="shared" si="13"/>
        <v>SBI154D</v>
      </c>
      <c r="N1005" s="9">
        <f t="shared" si="14"/>
        <v>7</v>
      </c>
      <c r="O1005" s="9" t="str">
        <f t="shared" si="15"/>
        <v>K/1SBI154D</v>
      </c>
    </row>
    <row r="1006" spans="1:15" ht="17.5" x14ac:dyDescent="0.55000000000000004">
      <c r="A1006" s="5" t="s">
        <v>1381</v>
      </c>
      <c r="B1006" s="6" t="s">
        <v>195</v>
      </c>
      <c r="C1006" s="6" t="s">
        <v>235</v>
      </c>
      <c r="D1006" s="12" t="s">
        <v>1417</v>
      </c>
      <c r="E1006" s="6" t="s">
        <v>155</v>
      </c>
      <c r="F1006" s="6" t="s">
        <v>1206</v>
      </c>
      <c r="G1006" s="6" t="s">
        <v>17</v>
      </c>
      <c r="H1006" s="6">
        <v>0</v>
      </c>
      <c r="I1006" s="6" t="s">
        <v>1384</v>
      </c>
      <c r="J1006" s="6">
        <v>2</v>
      </c>
      <c r="K1006" s="7" t="str">
        <f t="shared" si="12"/>
        <v>K151</v>
      </c>
      <c r="L1006" s="8"/>
      <c r="M1006" s="9" t="str">
        <f t="shared" si="13"/>
        <v>SBI154H</v>
      </c>
      <c r="N1006" s="9">
        <f t="shared" si="14"/>
        <v>7</v>
      </c>
      <c r="O1006" s="9" t="str">
        <f t="shared" si="15"/>
        <v>K/2SBI154H</v>
      </c>
    </row>
    <row r="1007" spans="1:15" ht="17.5" x14ac:dyDescent="0.55000000000000004">
      <c r="A1007" s="10" t="s">
        <v>1381</v>
      </c>
      <c r="B1007" s="11" t="s">
        <v>195</v>
      </c>
      <c r="C1007" s="11" t="s">
        <v>1122</v>
      </c>
      <c r="D1007" s="13" t="s">
        <v>1385</v>
      </c>
      <c r="E1007" s="11" t="s">
        <v>1418</v>
      </c>
      <c r="F1007" s="11" t="s">
        <v>1386</v>
      </c>
      <c r="G1007" s="11" t="s">
        <v>17</v>
      </c>
      <c r="H1007" s="11">
        <v>0</v>
      </c>
      <c r="I1007" s="11" t="s">
        <v>1384</v>
      </c>
      <c r="J1007" s="11">
        <v>1</v>
      </c>
      <c r="K1007" s="7" t="str">
        <f t="shared" si="12"/>
        <v>K151</v>
      </c>
      <c r="L1007" s="8"/>
      <c r="M1007" s="9" t="str">
        <f t="shared" si="13"/>
        <v>SBI1539</v>
      </c>
      <c r="N1007" s="9">
        <f t="shared" si="14"/>
        <v>7</v>
      </c>
      <c r="O1007" s="9" t="str">
        <f t="shared" si="15"/>
        <v>K/3SBI1539</v>
      </c>
    </row>
    <row r="1008" spans="1:15" ht="17.5" x14ac:dyDescent="0.55000000000000004">
      <c r="A1008" s="5" t="s">
        <v>1381</v>
      </c>
      <c r="B1008" s="6" t="s">
        <v>195</v>
      </c>
      <c r="C1008" s="6" t="s">
        <v>1122</v>
      </c>
      <c r="D1008" s="12" t="s">
        <v>1409</v>
      </c>
      <c r="E1008" s="6" t="s">
        <v>1418</v>
      </c>
      <c r="F1008" s="6" t="s">
        <v>1410</v>
      </c>
      <c r="G1008" s="6" t="s">
        <v>17</v>
      </c>
      <c r="H1008" s="6">
        <v>0</v>
      </c>
      <c r="I1008" s="6" t="s">
        <v>1384</v>
      </c>
      <c r="J1008" s="6">
        <v>2</v>
      </c>
      <c r="K1008" s="7" t="str">
        <f t="shared" si="12"/>
        <v>K151</v>
      </c>
      <c r="L1008" s="8"/>
      <c r="M1008" s="9" t="str">
        <f t="shared" si="13"/>
        <v>SBI153A</v>
      </c>
      <c r="N1008" s="9">
        <f t="shared" si="14"/>
        <v>7</v>
      </c>
      <c r="O1008" s="9" t="str">
        <f t="shared" si="15"/>
        <v>K/3SBI153A</v>
      </c>
    </row>
    <row r="1009" spans="1:15" ht="17.5" x14ac:dyDescent="0.55000000000000004">
      <c r="A1009" s="10" t="s">
        <v>1425</v>
      </c>
      <c r="B1009" s="11" t="s">
        <v>13</v>
      </c>
      <c r="C1009" s="11" t="s">
        <v>191</v>
      </c>
      <c r="D1009" s="13" t="s">
        <v>1426</v>
      </c>
      <c r="E1009" s="11" t="s">
        <v>16</v>
      </c>
      <c r="F1009" s="11" t="s">
        <v>1427</v>
      </c>
      <c r="G1009" s="11" t="s">
        <v>17</v>
      </c>
      <c r="H1009" s="11">
        <v>0</v>
      </c>
      <c r="I1009" s="11" t="s">
        <v>1428</v>
      </c>
      <c r="J1009" s="11">
        <v>2</v>
      </c>
      <c r="K1009" s="7" t="str">
        <f t="shared" si="12"/>
        <v>P051</v>
      </c>
      <c r="L1009" s="8"/>
      <c r="M1009" s="9" t="str">
        <f t="shared" si="13"/>
        <v>BTK1528</v>
      </c>
      <c r="N1009" s="9">
        <f t="shared" si="14"/>
        <v>7</v>
      </c>
      <c r="O1009" s="9" t="str">
        <f t="shared" si="15"/>
        <v>K/1BTK1528</v>
      </c>
    </row>
    <row r="1010" spans="1:15" ht="17.5" x14ac:dyDescent="0.55000000000000004">
      <c r="A1010" s="5" t="s">
        <v>1425</v>
      </c>
      <c r="B1010" s="6" t="s">
        <v>13</v>
      </c>
      <c r="C1010" s="6" t="s">
        <v>1429</v>
      </c>
      <c r="D1010" s="12" t="s">
        <v>1430</v>
      </c>
      <c r="E1010" s="6" t="s">
        <v>16</v>
      </c>
      <c r="F1010" s="6" t="s">
        <v>990</v>
      </c>
      <c r="G1010" s="6" t="s">
        <v>17</v>
      </c>
      <c r="H1010" s="6">
        <v>0</v>
      </c>
      <c r="I1010" s="6" t="s">
        <v>1428</v>
      </c>
      <c r="J1010" s="6">
        <v>1</v>
      </c>
      <c r="K1010" s="7" t="str">
        <f t="shared" si="12"/>
        <v>P051</v>
      </c>
      <c r="L1010" s="8"/>
      <c r="M1010" s="9" t="str">
        <f t="shared" si="13"/>
        <v>BTK1502</v>
      </c>
      <c r="N1010" s="9">
        <f t="shared" si="14"/>
        <v>7</v>
      </c>
      <c r="O1010" s="9" t="str">
        <f t="shared" si="15"/>
        <v>K/1BTK1502</v>
      </c>
    </row>
    <row r="1011" spans="1:15" ht="17.5" x14ac:dyDescent="0.55000000000000004">
      <c r="A1011" s="10" t="s">
        <v>1425</v>
      </c>
      <c r="B1011" s="11" t="s">
        <v>13</v>
      </c>
      <c r="C1011" s="11" t="s">
        <v>64</v>
      </c>
      <c r="D1011" s="13" t="s">
        <v>1431</v>
      </c>
      <c r="E1011" s="11" t="s">
        <v>16</v>
      </c>
      <c r="F1011" s="11" t="s">
        <v>1427</v>
      </c>
      <c r="G1011" s="11" t="s">
        <v>17</v>
      </c>
      <c r="H1011" s="11">
        <v>0</v>
      </c>
      <c r="I1011" s="11" t="s">
        <v>1428</v>
      </c>
      <c r="J1011" s="11">
        <v>2</v>
      </c>
      <c r="K1011" s="7" t="str">
        <f t="shared" si="12"/>
        <v>P051</v>
      </c>
      <c r="L1011" s="8"/>
      <c r="M1011" s="9" t="str">
        <f t="shared" si="13"/>
        <v>BTK1524</v>
      </c>
      <c r="N1011" s="9">
        <f t="shared" si="14"/>
        <v>7</v>
      </c>
      <c r="O1011" s="9" t="str">
        <f t="shared" si="15"/>
        <v>K/1BTK1524</v>
      </c>
    </row>
    <row r="1012" spans="1:15" ht="17.5" x14ac:dyDescent="0.55000000000000004">
      <c r="A1012" s="5" t="s">
        <v>1425</v>
      </c>
      <c r="B1012" s="6" t="s">
        <v>31</v>
      </c>
      <c r="C1012" s="6" t="s">
        <v>14</v>
      </c>
      <c r="D1012" s="12" t="s">
        <v>1432</v>
      </c>
      <c r="E1012" s="6" t="s">
        <v>16</v>
      </c>
      <c r="F1012" s="6" t="s">
        <v>1060</v>
      </c>
      <c r="G1012" s="6" t="s">
        <v>17</v>
      </c>
      <c r="H1012" s="6">
        <v>0</v>
      </c>
      <c r="I1012" s="6" t="s">
        <v>1428</v>
      </c>
      <c r="J1012" s="6">
        <v>1</v>
      </c>
      <c r="K1012" s="7" t="str">
        <f t="shared" si="12"/>
        <v>P051</v>
      </c>
      <c r="L1012" s="8"/>
      <c r="M1012" s="9" t="str">
        <f t="shared" si="13"/>
        <v>BTK1503</v>
      </c>
      <c r="N1012" s="9">
        <f t="shared" si="14"/>
        <v>7</v>
      </c>
      <c r="O1012" s="9" t="str">
        <f t="shared" si="15"/>
        <v>K/1BTK1503</v>
      </c>
    </row>
    <row r="1013" spans="1:15" ht="17.5" x14ac:dyDescent="0.55000000000000004">
      <c r="A1013" s="10" t="s">
        <v>1425</v>
      </c>
      <c r="B1013" s="11" t="s">
        <v>31</v>
      </c>
      <c r="C1013" s="11" t="s">
        <v>14</v>
      </c>
      <c r="D1013" s="13" t="s">
        <v>1433</v>
      </c>
      <c r="E1013" s="11" t="s">
        <v>16</v>
      </c>
      <c r="F1013" s="11" t="s">
        <v>1427</v>
      </c>
      <c r="G1013" s="11" t="s">
        <v>17</v>
      </c>
      <c r="H1013" s="11">
        <v>0</v>
      </c>
      <c r="I1013" s="11" t="s">
        <v>1428</v>
      </c>
      <c r="J1013" s="11">
        <v>2</v>
      </c>
      <c r="K1013" s="7" t="str">
        <f t="shared" si="12"/>
        <v>P051</v>
      </c>
      <c r="L1013" s="8"/>
      <c r="M1013" s="9" t="str">
        <f t="shared" si="13"/>
        <v>BTK1523</v>
      </c>
      <c r="N1013" s="9">
        <f t="shared" si="14"/>
        <v>7</v>
      </c>
      <c r="O1013" s="9" t="str">
        <f t="shared" si="15"/>
        <v>K/1BTK1523</v>
      </c>
    </row>
    <row r="1014" spans="1:15" ht="17.5" x14ac:dyDescent="0.55000000000000004">
      <c r="A1014" s="5" t="s">
        <v>1425</v>
      </c>
      <c r="B1014" s="6" t="s">
        <v>31</v>
      </c>
      <c r="C1014" s="6" t="s">
        <v>283</v>
      </c>
      <c r="D1014" s="12" t="s">
        <v>1432</v>
      </c>
      <c r="E1014" s="6" t="s">
        <v>50</v>
      </c>
      <c r="F1014" s="6" t="s">
        <v>1060</v>
      </c>
      <c r="G1014" s="6" t="s">
        <v>17</v>
      </c>
      <c r="H1014" s="6">
        <v>0</v>
      </c>
      <c r="I1014" s="6" t="s">
        <v>1428</v>
      </c>
      <c r="J1014" s="6">
        <v>1</v>
      </c>
      <c r="K1014" s="7" t="str">
        <f t="shared" si="12"/>
        <v>P051</v>
      </c>
      <c r="L1014" s="8"/>
      <c r="M1014" s="9" t="str">
        <f t="shared" si="13"/>
        <v>BTK1503</v>
      </c>
      <c r="N1014" s="9">
        <f t="shared" si="14"/>
        <v>7</v>
      </c>
      <c r="O1014" s="9" t="str">
        <f t="shared" si="15"/>
        <v>P/1BTK1503</v>
      </c>
    </row>
    <row r="1015" spans="1:15" ht="17.5" x14ac:dyDescent="0.55000000000000004">
      <c r="A1015" s="10" t="s">
        <v>1425</v>
      </c>
      <c r="B1015" s="11" t="s">
        <v>31</v>
      </c>
      <c r="C1015" s="11" t="s">
        <v>36</v>
      </c>
      <c r="D1015" s="13" t="s">
        <v>1431</v>
      </c>
      <c r="E1015" s="11" t="s">
        <v>50</v>
      </c>
      <c r="F1015" s="11" t="s">
        <v>1427</v>
      </c>
      <c r="G1015" s="11" t="s">
        <v>17</v>
      </c>
      <c r="H1015" s="11">
        <v>0</v>
      </c>
      <c r="I1015" s="11" t="s">
        <v>1428</v>
      </c>
      <c r="J1015" s="11">
        <v>2</v>
      </c>
      <c r="K1015" s="7" t="str">
        <f t="shared" si="12"/>
        <v>P051</v>
      </c>
      <c r="L1015" s="8"/>
      <c r="M1015" s="9" t="str">
        <f t="shared" si="13"/>
        <v>BTK1524</v>
      </c>
      <c r="N1015" s="9">
        <f t="shared" si="14"/>
        <v>7</v>
      </c>
      <c r="O1015" s="9" t="str">
        <f t="shared" si="15"/>
        <v>P/1BTK1524</v>
      </c>
    </row>
    <row r="1016" spans="1:15" ht="17.5" x14ac:dyDescent="0.55000000000000004">
      <c r="A1016" s="5" t="s">
        <v>1425</v>
      </c>
      <c r="B1016" s="6" t="s">
        <v>41</v>
      </c>
      <c r="C1016" s="6" t="s">
        <v>14</v>
      </c>
      <c r="D1016" s="12" t="s">
        <v>1434</v>
      </c>
      <c r="E1016" s="6" t="s">
        <v>16</v>
      </c>
      <c r="F1016" s="6" t="s">
        <v>1435</v>
      </c>
      <c r="G1016" s="6" t="s">
        <v>17</v>
      </c>
      <c r="H1016" s="6">
        <v>0</v>
      </c>
      <c r="I1016" s="6" t="s">
        <v>1428</v>
      </c>
      <c r="J1016" s="6">
        <v>2</v>
      </c>
      <c r="K1016" s="7" t="str">
        <f t="shared" si="12"/>
        <v>P051</v>
      </c>
      <c r="L1016" s="8"/>
      <c r="M1016" s="9" t="str">
        <f t="shared" si="13"/>
        <v>BTK1504</v>
      </c>
      <c r="N1016" s="9">
        <f t="shared" si="14"/>
        <v>7</v>
      </c>
      <c r="O1016" s="9" t="str">
        <f t="shared" si="15"/>
        <v>K/1BTK1504</v>
      </c>
    </row>
    <row r="1017" spans="1:15" ht="17.5" x14ac:dyDescent="0.55000000000000004">
      <c r="A1017" s="10" t="s">
        <v>1425</v>
      </c>
      <c r="B1017" s="11" t="s">
        <v>41</v>
      </c>
      <c r="C1017" s="11" t="s">
        <v>283</v>
      </c>
      <c r="D1017" s="13" t="s">
        <v>1434</v>
      </c>
      <c r="E1017" s="11" t="s">
        <v>50</v>
      </c>
      <c r="F1017" s="11" t="s">
        <v>1435</v>
      </c>
      <c r="G1017" s="11" t="s">
        <v>17</v>
      </c>
      <c r="H1017" s="11">
        <v>0</v>
      </c>
      <c r="I1017" s="11" t="s">
        <v>1428</v>
      </c>
      <c r="J1017" s="11">
        <v>2</v>
      </c>
      <c r="K1017" s="7" t="str">
        <f t="shared" si="12"/>
        <v>P051</v>
      </c>
      <c r="L1017" s="8"/>
      <c r="M1017" s="9" t="str">
        <f t="shared" si="13"/>
        <v>BTK1504</v>
      </c>
      <c r="N1017" s="9">
        <f t="shared" si="14"/>
        <v>7</v>
      </c>
      <c r="O1017" s="9" t="str">
        <f t="shared" si="15"/>
        <v>P/1BTK1504</v>
      </c>
    </row>
    <row r="1018" spans="1:15" ht="17.5" x14ac:dyDescent="0.55000000000000004">
      <c r="A1018" s="5" t="s">
        <v>1425</v>
      </c>
      <c r="B1018" s="6" t="s">
        <v>41</v>
      </c>
      <c r="C1018" s="6" t="s">
        <v>283</v>
      </c>
      <c r="D1018" s="12" t="s">
        <v>1433</v>
      </c>
      <c r="E1018" s="6" t="s">
        <v>50</v>
      </c>
      <c r="F1018" s="6" t="s">
        <v>1427</v>
      </c>
      <c r="G1018" s="6" t="s">
        <v>17</v>
      </c>
      <c r="H1018" s="6">
        <v>0</v>
      </c>
      <c r="I1018" s="6" t="s">
        <v>1428</v>
      </c>
      <c r="J1018" s="6">
        <v>2</v>
      </c>
      <c r="K1018" s="7" t="str">
        <f t="shared" si="12"/>
        <v>P051</v>
      </c>
      <c r="L1018" s="8"/>
      <c r="M1018" s="9" t="str">
        <f t="shared" si="13"/>
        <v>BTK1523</v>
      </c>
      <c r="N1018" s="9">
        <f t="shared" si="14"/>
        <v>7</v>
      </c>
      <c r="O1018" s="9" t="str">
        <f t="shared" si="15"/>
        <v>P/1BTK1523</v>
      </c>
    </row>
    <row r="1019" spans="1:15" ht="17.5" x14ac:dyDescent="0.55000000000000004">
      <c r="A1019" s="10" t="s">
        <v>1425</v>
      </c>
      <c r="B1019" s="11" t="s">
        <v>41</v>
      </c>
      <c r="C1019" s="11" t="s">
        <v>289</v>
      </c>
      <c r="D1019" s="13" t="s">
        <v>1436</v>
      </c>
      <c r="E1019" s="11" t="s">
        <v>16</v>
      </c>
      <c r="F1019" s="11" t="s">
        <v>1437</v>
      </c>
      <c r="G1019" s="11" t="s">
        <v>17</v>
      </c>
      <c r="H1019" s="11">
        <v>0</v>
      </c>
      <c r="I1019" s="11" t="s">
        <v>1428</v>
      </c>
      <c r="J1019" s="11">
        <v>1</v>
      </c>
      <c r="K1019" s="7" t="str">
        <f t="shared" si="12"/>
        <v>P051</v>
      </c>
      <c r="L1019" s="8"/>
      <c r="M1019" s="9" t="str">
        <f t="shared" si="13"/>
        <v>BTK1501</v>
      </c>
      <c r="N1019" s="9">
        <f t="shared" si="14"/>
        <v>7</v>
      </c>
      <c r="O1019" s="9" t="str">
        <f t="shared" si="15"/>
        <v>K/1BTK1501</v>
      </c>
    </row>
    <row r="1020" spans="1:15" ht="17.5" x14ac:dyDescent="0.55000000000000004">
      <c r="A1020" s="5" t="s">
        <v>1425</v>
      </c>
      <c r="B1020" s="6" t="s">
        <v>47</v>
      </c>
      <c r="C1020" s="6" t="s">
        <v>14</v>
      </c>
      <c r="D1020" s="12" t="s">
        <v>1438</v>
      </c>
      <c r="E1020" s="6" t="s">
        <v>16</v>
      </c>
      <c r="F1020" s="6" t="s">
        <v>1439</v>
      </c>
      <c r="G1020" s="6" t="s">
        <v>17</v>
      </c>
      <c r="H1020" s="6">
        <v>0</v>
      </c>
      <c r="I1020" s="6" t="s">
        <v>1428</v>
      </c>
      <c r="J1020" s="6">
        <v>2</v>
      </c>
      <c r="K1020" s="7" t="str">
        <f t="shared" si="12"/>
        <v>P051</v>
      </c>
      <c r="L1020" s="8"/>
      <c r="M1020" s="9" t="str">
        <f t="shared" si="13"/>
        <v>BTK1525</v>
      </c>
      <c r="N1020" s="9">
        <f t="shared" si="14"/>
        <v>7</v>
      </c>
      <c r="O1020" s="9" t="str">
        <f t="shared" si="15"/>
        <v>K/1BTK1525</v>
      </c>
    </row>
    <row r="1021" spans="1:15" ht="17.5" x14ac:dyDescent="0.55000000000000004">
      <c r="A1021" s="10" t="s">
        <v>1425</v>
      </c>
      <c r="B1021" s="11" t="s">
        <v>47</v>
      </c>
      <c r="C1021" s="11" t="s">
        <v>1440</v>
      </c>
      <c r="D1021" s="13" t="s">
        <v>1430</v>
      </c>
      <c r="E1021" s="11" t="s">
        <v>50</v>
      </c>
      <c r="F1021" s="11" t="s">
        <v>990</v>
      </c>
      <c r="G1021" s="11" t="s">
        <v>17</v>
      </c>
      <c r="H1021" s="11">
        <v>0</v>
      </c>
      <c r="I1021" s="11" t="s">
        <v>1428</v>
      </c>
      <c r="J1021" s="11">
        <v>1</v>
      </c>
      <c r="K1021" s="7" t="str">
        <f t="shared" si="12"/>
        <v>P051</v>
      </c>
      <c r="L1021" s="8"/>
      <c r="M1021" s="9" t="str">
        <f t="shared" si="13"/>
        <v>BTK1502</v>
      </c>
      <c r="N1021" s="9">
        <f t="shared" si="14"/>
        <v>7</v>
      </c>
      <c r="O1021" s="9" t="str">
        <f t="shared" si="15"/>
        <v>P/1BTK1502</v>
      </c>
    </row>
    <row r="1022" spans="1:15" ht="17.5" x14ac:dyDescent="0.55000000000000004">
      <c r="A1022" s="5" t="s">
        <v>1425</v>
      </c>
      <c r="B1022" s="6" t="s">
        <v>47</v>
      </c>
      <c r="C1022" s="6" t="s">
        <v>283</v>
      </c>
      <c r="D1022" s="12" t="s">
        <v>1438</v>
      </c>
      <c r="E1022" s="6" t="s">
        <v>50</v>
      </c>
      <c r="F1022" s="6" t="s">
        <v>1439</v>
      </c>
      <c r="G1022" s="6" t="s">
        <v>17</v>
      </c>
      <c r="H1022" s="6">
        <v>0</v>
      </c>
      <c r="I1022" s="6" t="s">
        <v>1428</v>
      </c>
      <c r="J1022" s="6">
        <v>2</v>
      </c>
      <c r="K1022" s="7" t="str">
        <f t="shared" ref="K1022:K1095" si="16">LEFT(A1022,4)</f>
        <v>P051</v>
      </c>
      <c r="L1022" s="8"/>
      <c r="M1022" s="9" t="str">
        <f t="shared" ref="M1022:M1095" si="17">LEFT(D1022,7)</f>
        <v>BTK1525</v>
      </c>
      <c r="N1022" s="9">
        <f t="shared" ref="N1022:N1094" si="18">LEN(TRIM(M1022))</f>
        <v>7</v>
      </c>
      <c r="O1022" s="9" t="str">
        <f t="shared" ref="O1022:O1094" si="19">E1022&amp;LEFT(D1022,7)</f>
        <v>P/1BTK1525</v>
      </c>
    </row>
    <row r="1023" spans="1:15" ht="17.5" x14ac:dyDescent="0.55000000000000004">
      <c r="A1023" s="10" t="s">
        <v>1425</v>
      </c>
      <c r="B1023" s="11" t="s">
        <v>47</v>
      </c>
      <c r="C1023" s="11" t="s">
        <v>64</v>
      </c>
      <c r="D1023" s="13" t="s">
        <v>1441</v>
      </c>
      <c r="E1023" s="11" t="s">
        <v>16</v>
      </c>
      <c r="F1023" s="11" t="s">
        <v>1437</v>
      </c>
      <c r="G1023" s="11" t="s">
        <v>17</v>
      </c>
      <c r="H1023" s="11">
        <v>0</v>
      </c>
      <c r="I1023" s="11" t="s">
        <v>1428</v>
      </c>
      <c r="J1023" s="11">
        <v>1</v>
      </c>
      <c r="K1023" s="7" t="str">
        <f t="shared" si="16"/>
        <v>P051</v>
      </c>
      <c r="L1023" s="8"/>
      <c r="M1023" s="9" t="str">
        <f t="shared" si="17"/>
        <v>BTK1505</v>
      </c>
      <c r="N1023" s="9">
        <f t="shared" si="18"/>
        <v>7</v>
      </c>
      <c r="O1023" s="9" t="str">
        <f t="shared" si="19"/>
        <v>K/1BTK1505</v>
      </c>
    </row>
    <row r="1024" spans="1:15" ht="17.5" x14ac:dyDescent="0.55000000000000004">
      <c r="A1024" s="5" t="s">
        <v>1425</v>
      </c>
      <c r="B1024" s="6" t="s">
        <v>47</v>
      </c>
      <c r="C1024" s="6" t="s">
        <v>862</v>
      </c>
      <c r="D1024" s="12" t="s">
        <v>1441</v>
      </c>
      <c r="E1024" s="6" t="s">
        <v>50</v>
      </c>
      <c r="F1024" s="6" t="s">
        <v>1437</v>
      </c>
      <c r="G1024" s="6" t="s">
        <v>17</v>
      </c>
      <c r="H1024" s="6">
        <v>0</v>
      </c>
      <c r="I1024" s="6" t="s">
        <v>1428</v>
      </c>
      <c r="J1024" s="6">
        <v>1</v>
      </c>
      <c r="K1024" s="7" t="str">
        <f t="shared" si="16"/>
        <v>P051</v>
      </c>
      <c r="L1024" s="8"/>
      <c r="M1024" s="9" t="str">
        <f t="shared" si="17"/>
        <v>BTK1505</v>
      </c>
      <c r="N1024" s="9">
        <f t="shared" si="18"/>
        <v>7</v>
      </c>
      <c r="O1024" s="9" t="str">
        <f t="shared" si="19"/>
        <v>P/1BTK1505</v>
      </c>
    </row>
    <row r="1025" spans="1:15" ht="17.5" x14ac:dyDescent="0.55000000000000004">
      <c r="A1025" s="10" t="s">
        <v>1442</v>
      </c>
      <c r="B1025" s="10" t="s">
        <v>13</v>
      </c>
      <c r="C1025" s="10" t="s">
        <v>261</v>
      </c>
      <c r="D1025" s="10" t="s">
        <v>1443</v>
      </c>
      <c r="E1025" s="11" t="s">
        <v>16</v>
      </c>
      <c r="F1025" s="10" t="s">
        <v>715</v>
      </c>
      <c r="G1025" s="10" t="s">
        <v>17</v>
      </c>
      <c r="H1025" s="11">
        <v>0</v>
      </c>
      <c r="I1025" s="10" t="s">
        <v>1444</v>
      </c>
      <c r="J1025" s="11">
        <v>2</v>
      </c>
      <c r="K1025" s="7" t="str">
        <f t="shared" si="16"/>
        <v>P052</v>
      </c>
      <c r="L1025" s="8"/>
      <c r="M1025" s="9" t="str">
        <f t="shared" si="17"/>
        <v>PSL1608</v>
      </c>
      <c r="N1025" s="9">
        <f t="shared" si="18"/>
        <v>7</v>
      </c>
      <c r="O1025" s="9" t="str">
        <f t="shared" si="19"/>
        <v>K/1PSL1608</v>
      </c>
    </row>
    <row r="1026" spans="1:15" ht="17.5" x14ac:dyDescent="0.55000000000000004">
      <c r="A1026" s="5" t="s">
        <v>1442</v>
      </c>
      <c r="B1026" s="5" t="s">
        <v>13</v>
      </c>
      <c r="C1026" s="5" t="s">
        <v>423</v>
      </c>
      <c r="D1026" s="5" t="s">
        <v>1443</v>
      </c>
      <c r="E1026" s="6" t="s">
        <v>50</v>
      </c>
      <c r="F1026" s="5" t="s">
        <v>715</v>
      </c>
      <c r="G1026" s="5" t="s">
        <v>17</v>
      </c>
      <c r="H1026" s="6">
        <v>0</v>
      </c>
      <c r="I1026" s="5" t="s">
        <v>1444</v>
      </c>
      <c r="J1026" s="6">
        <v>2</v>
      </c>
      <c r="K1026" s="7" t="str">
        <f t="shared" si="16"/>
        <v>P052</v>
      </c>
      <c r="L1026" s="8"/>
      <c r="M1026" s="9" t="str">
        <f t="shared" si="17"/>
        <v>PSL1608</v>
      </c>
      <c r="N1026" s="9">
        <f t="shared" si="18"/>
        <v>7</v>
      </c>
      <c r="O1026" s="9" t="str">
        <f t="shared" si="19"/>
        <v>P/1PSL1608</v>
      </c>
    </row>
    <row r="1027" spans="1:15" ht="17.5" x14ac:dyDescent="0.55000000000000004">
      <c r="A1027" s="10" t="s">
        <v>1442</v>
      </c>
      <c r="B1027" s="10" t="s">
        <v>13</v>
      </c>
      <c r="C1027" s="10" t="s">
        <v>64</v>
      </c>
      <c r="D1027" s="10" t="s">
        <v>1445</v>
      </c>
      <c r="E1027" s="11" t="s">
        <v>16</v>
      </c>
      <c r="F1027" s="10" t="s">
        <v>1360</v>
      </c>
      <c r="G1027" s="10" t="s">
        <v>17</v>
      </c>
      <c r="H1027" s="11">
        <v>0</v>
      </c>
      <c r="I1027" s="10" t="s">
        <v>1446</v>
      </c>
      <c r="J1027" s="11">
        <v>2</v>
      </c>
      <c r="K1027" s="7" t="str">
        <f t="shared" si="16"/>
        <v>P052</v>
      </c>
      <c r="L1027" s="8"/>
      <c r="M1027" s="9" t="str">
        <f t="shared" si="17"/>
        <v>PSL1615</v>
      </c>
      <c r="N1027" s="9">
        <f t="shared" si="18"/>
        <v>7</v>
      </c>
      <c r="O1027" s="9" t="str">
        <f t="shared" si="19"/>
        <v>K/1PSL1615</v>
      </c>
    </row>
    <row r="1028" spans="1:15" ht="17.5" x14ac:dyDescent="0.55000000000000004">
      <c r="A1028" s="5" t="s">
        <v>1442</v>
      </c>
      <c r="B1028" s="5" t="s">
        <v>13</v>
      </c>
      <c r="C1028" s="5" t="s">
        <v>101</v>
      </c>
      <c r="D1028" s="5" t="s">
        <v>1447</v>
      </c>
      <c r="E1028" s="6" t="s">
        <v>16</v>
      </c>
      <c r="F1028" s="5" t="s">
        <v>234</v>
      </c>
      <c r="G1028" s="5" t="s">
        <v>17</v>
      </c>
      <c r="H1028" s="6">
        <v>0</v>
      </c>
      <c r="I1028" s="5" t="s">
        <v>1446</v>
      </c>
      <c r="J1028" s="6">
        <v>2</v>
      </c>
      <c r="K1028" s="7" t="str">
        <f t="shared" si="16"/>
        <v>P052</v>
      </c>
      <c r="L1028" s="8"/>
      <c r="M1028" s="9" t="str">
        <f t="shared" si="17"/>
        <v>PSL1636</v>
      </c>
      <c r="N1028" s="9">
        <f t="shared" si="18"/>
        <v>7</v>
      </c>
      <c r="O1028" s="9" t="str">
        <f t="shared" si="19"/>
        <v>K/1PSL1636</v>
      </c>
    </row>
    <row r="1029" spans="1:15" ht="17.5" x14ac:dyDescent="0.55000000000000004">
      <c r="A1029" s="10" t="s">
        <v>1442</v>
      </c>
      <c r="B1029" s="10" t="s">
        <v>31</v>
      </c>
      <c r="C1029" s="10" t="s">
        <v>139</v>
      </c>
      <c r="D1029" s="10" t="s">
        <v>1448</v>
      </c>
      <c r="E1029" s="11" t="s">
        <v>16</v>
      </c>
      <c r="F1029" s="10" t="s">
        <v>1151</v>
      </c>
      <c r="G1029" s="10" t="s">
        <v>17</v>
      </c>
      <c r="H1029" s="11">
        <v>0</v>
      </c>
      <c r="I1029" s="10" t="s">
        <v>1444</v>
      </c>
      <c r="J1029" s="11">
        <v>2</v>
      </c>
      <c r="K1029" s="7" t="str">
        <f t="shared" si="16"/>
        <v>P052</v>
      </c>
      <c r="L1029" s="8"/>
      <c r="M1029" s="9" t="str">
        <f t="shared" si="17"/>
        <v>PSL1626</v>
      </c>
      <c r="N1029" s="9">
        <f t="shared" si="18"/>
        <v>7</v>
      </c>
      <c r="O1029" s="9" t="str">
        <f t="shared" si="19"/>
        <v>K/1PSL1626</v>
      </c>
    </row>
    <row r="1030" spans="1:15" ht="17.5" x14ac:dyDescent="0.55000000000000004">
      <c r="A1030" s="5" t="s">
        <v>1442</v>
      </c>
      <c r="B1030" s="5" t="s">
        <v>31</v>
      </c>
      <c r="C1030" s="5" t="s">
        <v>14</v>
      </c>
      <c r="D1030" s="5" t="s">
        <v>1449</v>
      </c>
      <c r="E1030" s="6" t="s">
        <v>16</v>
      </c>
      <c r="F1030" s="5" t="s">
        <v>864</v>
      </c>
      <c r="G1030" s="5" t="s">
        <v>17</v>
      </c>
      <c r="H1030" s="6">
        <v>0</v>
      </c>
      <c r="I1030" s="5" t="s">
        <v>1446</v>
      </c>
      <c r="J1030" s="6">
        <v>2</v>
      </c>
      <c r="K1030" s="7" t="str">
        <f t="shared" si="16"/>
        <v>P052</v>
      </c>
      <c r="L1030" s="8"/>
      <c r="M1030" s="9" t="str">
        <f t="shared" si="17"/>
        <v>PSL1635</v>
      </c>
      <c r="N1030" s="9">
        <f t="shared" si="18"/>
        <v>7</v>
      </c>
      <c r="O1030" s="9" t="str">
        <f t="shared" si="19"/>
        <v>K/1PSL1635</v>
      </c>
    </row>
    <row r="1031" spans="1:15" ht="17.5" x14ac:dyDescent="0.55000000000000004">
      <c r="A1031" s="10" t="s">
        <v>1442</v>
      </c>
      <c r="B1031" s="10" t="s">
        <v>31</v>
      </c>
      <c r="C1031" s="10" t="s">
        <v>423</v>
      </c>
      <c r="D1031" s="10" t="s">
        <v>1448</v>
      </c>
      <c r="E1031" s="11" t="s">
        <v>50</v>
      </c>
      <c r="F1031" s="10" t="s">
        <v>1151</v>
      </c>
      <c r="G1031" s="10" t="s">
        <v>17</v>
      </c>
      <c r="H1031" s="11">
        <v>0</v>
      </c>
      <c r="I1031" s="10" t="s">
        <v>1444</v>
      </c>
      <c r="J1031" s="11">
        <v>2</v>
      </c>
      <c r="K1031" s="7" t="str">
        <f t="shared" si="16"/>
        <v>P052</v>
      </c>
      <c r="L1031" s="8"/>
      <c r="M1031" s="9" t="str">
        <f t="shared" si="17"/>
        <v>PSL1626</v>
      </c>
      <c r="N1031" s="9">
        <f t="shared" si="18"/>
        <v>7</v>
      </c>
      <c r="O1031" s="9" t="str">
        <f t="shared" si="19"/>
        <v>P/1PSL1626</v>
      </c>
    </row>
    <row r="1032" spans="1:15" ht="17.5" x14ac:dyDescent="0.55000000000000004">
      <c r="A1032" s="5" t="s">
        <v>1442</v>
      </c>
      <c r="B1032" s="5" t="s">
        <v>31</v>
      </c>
      <c r="C1032" s="5" t="s">
        <v>221</v>
      </c>
      <c r="D1032" s="5" t="s">
        <v>1450</v>
      </c>
      <c r="E1032" s="6" t="s">
        <v>16</v>
      </c>
      <c r="F1032" s="5" t="s">
        <v>438</v>
      </c>
      <c r="G1032" s="5" t="s">
        <v>17</v>
      </c>
      <c r="H1032" s="6">
        <v>0</v>
      </c>
      <c r="I1032" s="5" t="s">
        <v>1446</v>
      </c>
      <c r="J1032" s="6">
        <v>2</v>
      </c>
      <c r="K1032" s="7" t="str">
        <f t="shared" si="16"/>
        <v>P052</v>
      </c>
      <c r="L1032" s="8"/>
      <c r="M1032" s="9" t="str">
        <f t="shared" si="17"/>
        <v>PSL1624</v>
      </c>
      <c r="N1032" s="9">
        <f t="shared" si="18"/>
        <v>7</v>
      </c>
      <c r="O1032" s="9" t="str">
        <f t="shared" si="19"/>
        <v>K/1PSL1624</v>
      </c>
    </row>
    <row r="1033" spans="1:15" ht="17.5" x14ac:dyDescent="0.55000000000000004">
      <c r="A1033" s="10" t="s">
        <v>1442</v>
      </c>
      <c r="B1033" s="10" t="s">
        <v>31</v>
      </c>
      <c r="C1033" s="10" t="s">
        <v>224</v>
      </c>
      <c r="D1033" s="10" t="s">
        <v>1450</v>
      </c>
      <c r="E1033" s="11" t="s">
        <v>50</v>
      </c>
      <c r="F1033" s="10" t="s">
        <v>438</v>
      </c>
      <c r="G1033" s="10" t="s">
        <v>17</v>
      </c>
      <c r="H1033" s="11">
        <v>0</v>
      </c>
      <c r="I1033" s="10" t="s">
        <v>1446</v>
      </c>
      <c r="J1033" s="11">
        <v>2</v>
      </c>
      <c r="K1033" s="7" t="str">
        <f t="shared" si="16"/>
        <v>P052</v>
      </c>
      <c r="L1033" s="8"/>
      <c r="M1033" s="9" t="str">
        <f t="shared" si="17"/>
        <v>PSL1624</v>
      </c>
      <c r="N1033" s="9">
        <f t="shared" si="18"/>
        <v>7</v>
      </c>
      <c r="O1033" s="9" t="str">
        <f t="shared" si="19"/>
        <v>P/1PSL1624</v>
      </c>
    </row>
    <row r="1034" spans="1:15" ht="17.5" x14ac:dyDescent="0.55000000000000004">
      <c r="A1034" s="5" t="s">
        <v>1442</v>
      </c>
      <c r="B1034" s="5" t="s">
        <v>31</v>
      </c>
      <c r="C1034" s="5" t="s">
        <v>415</v>
      </c>
      <c r="D1034" s="5" t="s">
        <v>1451</v>
      </c>
      <c r="E1034" s="6" t="s">
        <v>16</v>
      </c>
      <c r="F1034" s="5" t="s">
        <v>76</v>
      </c>
      <c r="G1034" s="5" t="s">
        <v>17</v>
      </c>
      <c r="H1034" s="6">
        <v>0</v>
      </c>
      <c r="I1034" s="5" t="s">
        <v>1444</v>
      </c>
      <c r="J1034" s="6">
        <v>2</v>
      </c>
      <c r="K1034" s="7" t="str">
        <f t="shared" si="16"/>
        <v>P052</v>
      </c>
      <c r="L1034" s="8"/>
      <c r="M1034" s="9" t="str">
        <f t="shared" si="17"/>
        <v>PSL1671</v>
      </c>
      <c r="N1034" s="9">
        <f t="shared" si="18"/>
        <v>7</v>
      </c>
      <c r="O1034" s="9" t="str">
        <f t="shared" si="19"/>
        <v>K/1PSL1671</v>
      </c>
    </row>
    <row r="1035" spans="1:15" ht="17.5" x14ac:dyDescent="0.55000000000000004">
      <c r="A1035" s="10" t="s">
        <v>1442</v>
      </c>
      <c r="B1035" s="10" t="s">
        <v>31</v>
      </c>
      <c r="C1035" s="10" t="s">
        <v>502</v>
      </c>
      <c r="D1035" s="10" t="s">
        <v>1451</v>
      </c>
      <c r="E1035" s="11" t="s">
        <v>50</v>
      </c>
      <c r="F1035" s="10" t="s">
        <v>76</v>
      </c>
      <c r="G1035" s="10" t="s">
        <v>17</v>
      </c>
      <c r="H1035" s="11">
        <v>0</v>
      </c>
      <c r="I1035" s="10" t="s">
        <v>1444</v>
      </c>
      <c r="J1035" s="11">
        <v>2</v>
      </c>
      <c r="K1035" s="7" t="str">
        <f t="shared" si="16"/>
        <v>P052</v>
      </c>
      <c r="L1035" s="8"/>
      <c r="M1035" s="9" t="str">
        <f t="shared" si="17"/>
        <v>PSL1671</v>
      </c>
      <c r="N1035" s="9">
        <f t="shared" si="18"/>
        <v>7</v>
      </c>
      <c r="O1035" s="9" t="str">
        <f t="shared" si="19"/>
        <v>P/1PSL1671</v>
      </c>
    </row>
    <row r="1036" spans="1:15" ht="17.5" x14ac:dyDescent="0.55000000000000004">
      <c r="A1036" s="5" t="s">
        <v>1442</v>
      </c>
      <c r="B1036" s="5" t="s">
        <v>41</v>
      </c>
      <c r="C1036" s="5" t="s">
        <v>261</v>
      </c>
      <c r="D1036" s="5" t="s">
        <v>1452</v>
      </c>
      <c r="E1036" s="6" t="s">
        <v>16</v>
      </c>
      <c r="F1036" s="5" t="s">
        <v>1453</v>
      </c>
      <c r="G1036" s="5" t="s">
        <v>17</v>
      </c>
      <c r="H1036" s="6">
        <v>0</v>
      </c>
      <c r="I1036" s="5" t="s">
        <v>1446</v>
      </c>
      <c r="J1036" s="6">
        <v>2</v>
      </c>
      <c r="K1036" s="7" t="str">
        <f t="shared" si="16"/>
        <v>P052</v>
      </c>
      <c r="L1036" s="8"/>
      <c r="M1036" s="9" t="str">
        <f t="shared" si="17"/>
        <v>PSL150C</v>
      </c>
      <c r="N1036" s="9">
        <f t="shared" si="18"/>
        <v>7</v>
      </c>
      <c r="O1036" s="9" t="str">
        <f t="shared" si="19"/>
        <v>K/1PSL150C</v>
      </c>
    </row>
    <row r="1037" spans="1:15" ht="17.5" x14ac:dyDescent="0.55000000000000004">
      <c r="A1037" s="10" t="s">
        <v>1442</v>
      </c>
      <c r="B1037" s="10" t="s">
        <v>41</v>
      </c>
      <c r="C1037" s="10" t="s">
        <v>423</v>
      </c>
      <c r="D1037" s="10" t="s">
        <v>1452</v>
      </c>
      <c r="E1037" s="11" t="s">
        <v>50</v>
      </c>
      <c r="F1037" s="10" t="s">
        <v>1453</v>
      </c>
      <c r="G1037" s="10" t="s">
        <v>17</v>
      </c>
      <c r="H1037" s="11">
        <v>0</v>
      </c>
      <c r="I1037" s="10" t="s">
        <v>1446</v>
      </c>
      <c r="J1037" s="11">
        <v>2</v>
      </c>
      <c r="K1037" s="7" t="str">
        <f t="shared" si="16"/>
        <v>P052</v>
      </c>
      <c r="L1037" s="8"/>
      <c r="M1037" s="9" t="str">
        <f t="shared" si="17"/>
        <v>PSL150C</v>
      </c>
      <c r="N1037" s="9">
        <f t="shared" si="18"/>
        <v>7</v>
      </c>
      <c r="O1037" s="9" t="str">
        <f t="shared" si="19"/>
        <v>P/1PSL150C</v>
      </c>
    </row>
    <row r="1038" spans="1:15" ht="17.5" x14ac:dyDescent="0.55000000000000004">
      <c r="A1038" s="5" t="s">
        <v>1442</v>
      </c>
      <c r="B1038" s="5" t="s">
        <v>41</v>
      </c>
      <c r="C1038" s="5" t="s">
        <v>101</v>
      </c>
      <c r="D1038" s="5" t="s">
        <v>1454</v>
      </c>
      <c r="E1038" s="6" t="s">
        <v>16</v>
      </c>
      <c r="F1038" s="5" t="s">
        <v>1455</v>
      </c>
      <c r="G1038" s="5" t="s">
        <v>17</v>
      </c>
      <c r="H1038" s="6">
        <v>0</v>
      </c>
      <c r="I1038" s="5" t="s">
        <v>1446</v>
      </c>
      <c r="J1038" s="6">
        <v>2</v>
      </c>
      <c r="K1038" s="7" t="str">
        <f t="shared" si="16"/>
        <v>P052</v>
      </c>
      <c r="L1038" s="8"/>
      <c r="M1038" s="9" t="str">
        <f t="shared" si="17"/>
        <v>PSL1616</v>
      </c>
      <c r="N1038" s="9">
        <f t="shared" si="18"/>
        <v>7</v>
      </c>
      <c r="O1038" s="9" t="str">
        <f t="shared" si="19"/>
        <v>K/1PSL1616</v>
      </c>
    </row>
    <row r="1039" spans="1:15" ht="17.5" x14ac:dyDescent="0.55000000000000004">
      <c r="A1039" s="10" t="s">
        <v>1442</v>
      </c>
      <c r="B1039" s="10" t="s">
        <v>41</v>
      </c>
      <c r="C1039" s="10" t="s">
        <v>101</v>
      </c>
      <c r="D1039" s="10" t="s">
        <v>1456</v>
      </c>
      <c r="E1039" s="11" t="s">
        <v>16</v>
      </c>
      <c r="F1039" s="10" t="s">
        <v>730</v>
      </c>
      <c r="G1039" s="10" t="s">
        <v>17</v>
      </c>
      <c r="H1039" s="11">
        <v>0</v>
      </c>
      <c r="I1039" s="10" t="s">
        <v>1444</v>
      </c>
      <c r="J1039" s="11">
        <v>2</v>
      </c>
      <c r="K1039" s="7" t="str">
        <f t="shared" si="16"/>
        <v>P052</v>
      </c>
      <c r="L1039" s="8"/>
      <c r="M1039" s="9" t="str">
        <f t="shared" si="17"/>
        <v>PSL1672</v>
      </c>
      <c r="N1039" s="9">
        <f t="shared" si="18"/>
        <v>7</v>
      </c>
      <c r="O1039" s="9" t="str">
        <f t="shared" si="19"/>
        <v>K/1PSL1672</v>
      </c>
    </row>
    <row r="1040" spans="1:15" ht="17.5" x14ac:dyDescent="0.55000000000000004">
      <c r="A1040" s="5" t="s">
        <v>1442</v>
      </c>
      <c r="B1040" s="5" t="s">
        <v>47</v>
      </c>
      <c r="C1040" s="5" t="s">
        <v>14</v>
      </c>
      <c r="D1040" s="5" t="s">
        <v>1457</v>
      </c>
      <c r="E1040" s="6" t="s">
        <v>16</v>
      </c>
      <c r="F1040" s="5" t="s">
        <v>1458</v>
      </c>
      <c r="G1040" s="5" t="s">
        <v>17</v>
      </c>
      <c r="H1040" s="6">
        <v>0</v>
      </c>
      <c r="I1040" s="5" t="s">
        <v>1444</v>
      </c>
      <c r="J1040" s="6">
        <v>2</v>
      </c>
      <c r="K1040" s="7" t="str">
        <f t="shared" si="16"/>
        <v>P052</v>
      </c>
      <c r="L1040" s="8"/>
      <c r="M1040" s="9" t="str">
        <f t="shared" si="17"/>
        <v>PSL1673</v>
      </c>
      <c r="N1040" s="9">
        <f t="shared" si="18"/>
        <v>7</v>
      </c>
      <c r="O1040" s="9" t="str">
        <f t="shared" si="19"/>
        <v>K/1PSL1673</v>
      </c>
    </row>
    <row r="1041" spans="1:15" ht="17.5" x14ac:dyDescent="0.55000000000000004">
      <c r="A1041" s="10" t="s">
        <v>1442</v>
      </c>
      <c r="B1041" s="10" t="s">
        <v>47</v>
      </c>
      <c r="C1041" s="10" t="s">
        <v>1459</v>
      </c>
      <c r="D1041" s="10" t="s">
        <v>1460</v>
      </c>
      <c r="E1041" s="11" t="s">
        <v>16</v>
      </c>
      <c r="F1041" s="10" t="s">
        <v>1461</v>
      </c>
      <c r="G1041" s="10" t="s">
        <v>17</v>
      </c>
      <c r="H1041" s="11">
        <v>0</v>
      </c>
      <c r="I1041" s="10" t="s">
        <v>1444</v>
      </c>
      <c r="J1041" s="11">
        <v>2</v>
      </c>
      <c r="K1041" s="7" t="str">
        <f t="shared" si="16"/>
        <v>P052</v>
      </c>
      <c r="L1041" s="8"/>
      <c r="M1041" s="9" t="str">
        <f t="shared" si="17"/>
        <v>PSL1675</v>
      </c>
      <c r="N1041" s="9">
        <f t="shared" si="18"/>
        <v>7</v>
      </c>
      <c r="O1041" s="9" t="str">
        <f t="shared" si="19"/>
        <v>K/1PSL1675</v>
      </c>
    </row>
    <row r="1042" spans="1:15" ht="17.5" x14ac:dyDescent="0.55000000000000004">
      <c r="A1042" s="5" t="s">
        <v>1442</v>
      </c>
      <c r="B1042" s="5" t="s">
        <v>47</v>
      </c>
      <c r="C1042" s="5" t="s">
        <v>221</v>
      </c>
      <c r="D1042" s="5" t="s">
        <v>1462</v>
      </c>
      <c r="E1042" s="6" t="s">
        <v>16</v>
      </c>
      <c r="F1042" s="5" t="s">
        <v>691</v>
      </c>
      <c r="G1042" s="5" t="s">
        <v>17</v>
      </c>
      <c r="H1042" s="6">
        <v>0</v>
      </c>
      <c r="I1042" s="5" t="s">
        <v>1444</v>
      </c>
      <c r="J1042" s="6">
        <v>2</v>
      </c>
      <c r="K1042" s="7" t="str">
        <f t="shared" si="16"/>
        <v>P052</v>
      </c>
      <c r="L1042" s="8"/>
      <c r="M1042" s="9" t="str">
        <f t="shared" si="17"/>
        <v>PSL1674</v>
      </c>
      <c r="N1042" s="9">
        <f t="shared" si="18"/>
        <v>7</v>
      </c>
      <c r="O1042" s="9" t="str">
        <f t="shared" si="19"/>
        <v>K/1PSL1674</v>
      </c>
    </row>
    <row r="1043" spans="1:15" ht="17.5" x14ac:dyDescent="0.55000000000000004">
      <c r="A1043" s="10" t="s">
        <v>1442</v>
      </c>
      <c r="B1043" s="10" t="s">
        <v>47</v>
      </c>
      <c r="C1043" s="10" t="s">
        <v>224</v>
      </c>
      <c r="D1043" s="10" t="s">
        <v>1462</v>
      </c>
      <c r="E1043" s="11" t="s">
        <v>50</v>
      </c>
      <c r="F1043" s="10" t="s">
        <v>691</v>
      </c>
      <c r="G1043" s="10" t="s">
        <v>17</v>
      </c>
      <c r="H1043" s="11">
        <v>0</v>
      </c>
      <c r="I1043" s="10" t="s">
        <v>1444</v>
      </c>
      <c r="J1043" s="11">
        <v>2</v>
      </c>
      <c r="K1043" s="7" t="str">
        <f t="shared" si="16"/>
        <v>P052</v>
      </c>
      <c r="L1043" s="8"/>
      <c r="M1043" s="9" t="str">
        <f t="shared" si="17"/>
        <v>PSL1674</v>
      </c>
      <c r="N1043" s="9">
        <f t="shared" si="18"/>
        <v>7</v>
      </c>
      <c r="O1043" s="9" t="str">
        <f t="shared" si="19"/>
        <v>P/1PSL1674</v>
      </c>
    </row>
    <row r="1044" spans="1:15" ht="17.5" x14ac:dyDescent="0.55000000000000004">
      <c r="A1044" s="5" t="s">
        <v>1442</v>
      </c>
      <c r="B1044" s="5" t="s">
        <v>52</v>
      </c>
      <c r="C1044" s="5" t="s">
        <v>14</v>
      </c>
      <c r="D1044" s="5" t="s">
        <v>1463</v>
      </c>
      <c r="E1044" s="6" t="s">
        <v>16</v>
      </c>
      <c r="F1044" s="5" t="s">
        <v>752</v>
      </c>
      <c r="G1044" s="5" t="s">
        <v>17</v>
      </c>
      <c r="H1044" s="6">
        <v>0</v>
      </c>
      <c r="I1044" s="5" t="s">
        <v>1446</v>
      </c>
      <c r="J1044" s="6">
        <v>2</v>
      </c>
      <c r="K1044" s="7" t="str">
        <f t="shared" si="16"/>
        <v>P052</v>
      </c>
      <c r="L1044" s="8"/>
      <c r="M1044" s="9" t="str">
        <f t="shared" si="17"/>
        <v>PSL1632</v>
      </c>
      <c r="N1044" s="9">
        <f t="shared" si="18"/>
        <v>7</v>
      </c>
      <c r="O1044" s="9" t="str">
        <f t="shared" si="19"/>
        <v>K/1PSL1632</v>
      </c>
    </row>
    <row r="1045" spans="1:15" ht="17.5" x14ac:dyDescent="0.55000000000000004">
      <c r="A1045" s="10" t="s">
        <v>1442</v>
      </c>
      <c r="B1045" s="10" t="s">
        <v>52</v>
      </c>
      <c r="C1045" s="10" t="s">
        <v>221</v>
      </c>
      <c r="D1045" s="10" t="s">
        <v>1464</v>
      </c>
      <c r="E1045" s="11" t="s">
        <v>16</v>
      </c>
      <c r="F1045" s="10" t="s">
        <v>1465</v>
      </c>
      <c r="G1045" s="10" t="s">
        <v>17</v>
      </c>
      <c r="H1045" s="11">
        <v>0</v>
      </c>
      <c r="I1045" s="10" t="s">
        <v>1446</v>
      </c>
      <c r="J1045" s="11">
        <v>2</v>
      </c>
      <c r="K1045" s="7" t="str">
        <f t="shared" si="16"/>
        <v>P052</v>
      </c>
      <c r="L1045" s="8"/>
      <c r="M1045" s="9" t="str">
        <f t="shared" si="17"/>
        <v>PSL1625</v>
      </c>
      <c r="N1045" s="9">
        <f t="shared" si="18"/>
        <v>7</v>
      </c>
      <c r="O1045" s="9" t="str">
        <f t="shared" si="19"/>
        <v>K/1PSL1625</v>
      </c>
    </row>
    <row r="1046" spans="1:15" ht="17.5" x14ac:dyDescent="0.55000000000000004">
      <c r="A1046" s="5" t="s">
        <v>1442</v>
      </c>
      <c r="B1046" s="5" t="s">
        <v>52</v>
      </c>
      <c r="C1046" s="5" t="s">
        <v>224</v>
      </c>
      <c r="D1046" s="5" t="s">
        <v>1464</v>
      </c>
      <c r="E1046" s="6" t="s">
        <v>50</v>
      </c>
      <c r="F1046" s="5" t="s">
        <v>1465</v>
      </c>
      <c r="G1046" s="5" t="s">
        <v>17</v>
      </c>
      <c r="H1046" s="6">
        <v>0</v>
      </c>
      <c r="I1046" s="5" t="s">
        <v>1446</v>
      </c>
      <c r="J1046" s="6">
        <v>2</v>
      </c>
      <c r="K1046" s="7" t="str">
        <f t="shared" si="16"/>
        <v>P052</v>
      </c>
      <c r="L1046" s="8"/>
      <c r="M1046" s="9" t="str">
        <f t="shared" si="17"/>
        <v>PSL1625</v>
      </c>
      <c r="N1046" s="9">
        <f t="shared" si="18"/>
        <v>7</v>
      </c>
      <c r="O1046" s="9" t="str">
        <f t="shared" si="19"/>
        <v>P/1PSL1625</v>
      </c>
    </row>
    <row r="1047" spans="1:15" ht="17.5" x14ac:dyDescent="0.55000000000000004">
      <c r="A1047" s="10" t="s">
        <v>1442</v>
      </c>
      <c r="B1047" s="10" t="s">
        <v>52</v>
      </c>
      <c r="C1047" s="10" t="s">
        <v>1466</v>
      </c>
      <c r="D1047" s="10" t="s">
        <v>1452</v>
      </c>
      <c r="E1047" s="11" t="s">
        <v>144</v>
      </c>
      <c r="F1047" s="10" t="s">
        <v>1453</v>
      </c>
      <c r="G1047" s="10" t="s">
        <v>17</v>
      </c>
      <c r="H1047" s="11">
        <v>0</v>
      </c>
      <c r="I1047" s="10" t="s">
        <v>1446</v>
      </c>
      <c r="J1047" s="11">
        <v>2</v>
      </c>
      <c r="K1047" s="7" t="str">
        <f t="shared" si="16"/>
        <v>P052</v>
      </c>
      <c r="L1047" s="8"/>
      <c r="M1047" s="9" t="str">
        <f t="shared" si="17"/>
        <v>PSL150C</v>
      </c>
      <c r="N1047" s="9">
        <f t="shared" si="18"/>
        <v>7</v>
      </c>
      <c r="O1047" s="9" t="str">
        <f t="shared" si="19"/>
        <v>P/2PSL150C</v>
      </c>
    </row>
    <row r="1048" spans="1:15" ht="17.5" x14ac:dyDescent="0.55000000000000004">
      <c r="A1048" s="5" t="s">
        <v>1442</v>
      </c>
      <c r="B1048" s="5" t="s">
        <v>195</v>
      </c>
      <c r="C1048" s="5" t="s">
        <v>261</v>
      </c>
      <c r="D1048" s="5" t="s">
        <v>1464</v>
      </c>
      <c r="E1048" s="6" t="s">
        <v>155</v>
      </c>
      <c r="F1048" s="5" t="s">
        <v>1465</v>
      </c>
      <c r="G1048" s="5" t="s">
        <v>17</v>
      </c>
      <c r="H1048" s="6">
        <v>0</v>
      </c>
      <c r="I1048" s="5" t="s">
        <v>1446</v>
      </c>
      <c r="J1048" s="6">
        <v>2</v>
      </c>
      <c r="K1048" s="7" t="str">
        <f t="shared" si="16"/>
        <v>P052</v>
      </c>
      <c r="L1048" s="8"/>
      <c r="M1048" s="9" t="str">
        <f t="shared" si="17"/>
        <v>PSL1625</v>
      </c>
      <c r="N1048" s="9">
        <f t="shared" si="18"/>
        <v>7</v>
      </c>
      <c r="O1048" s="9" t="str">
        <f t="shared" si="19"/>
        <v>K/2PSL1625</v>
      </c>
    </row>
    <row r="1049" spans="1:15" ht="17.5" x14ac:dyDescent="0.55000000000000004">
      <c r="A1049" s="10" t="s">
        <v>1442</v>
      </c>
      <c r="B1049" s="10" t="s">
        <v>195</v>
      </c>
      <c r="C1049" s="10" t="s">
        <v>261</v>
      </c>
      <c r="D1049" s="10" t="s">
        <v>1448</v>
      </c>
      <c r="E1049" s="11" t="s">
        <v>155</v>
      </c>
      <c r="F1049" s="10" t="s">
        <v>1151</v>
      </c>
      <c r="G1049" s="10" t="s">
        <v>17</v>
      </c>
      <c r="H1049" s="11">
        <v>0</v>
      </c>
      <c r="I1049" s="10" t="s">
        <v>1444</v>
      </c>
      <c r="J1049" s="11">
        <v>2</v>
      </c>
      <c r="K1049" s="7" t="str">
        <f t="shared" si="16"/>
        <v>P052</v>
      </c>
      <c r="L1049" s="8"/>
      <c r="M1049" s="9" t="str">
        <f t="shared" si="17"/>
        <v>PSL1626</v>
      </c>
      <c r="N1049" s="9">
        <f t="shared" si="18"/>
        <v>7</v>
      </c>
      <c r="O1049" s="9" t="str">
        <f t="shared" si="19"/>
        <v>K/2PSL1626</v>
      </c>
    </row>
    <row r="1050" spans="1:15" ht="17.5" x14ac:dyDescent="0.55000000000000004">
      <c r="A1050" s="5" t="s">
        <v>1442</v>
      </c>
      <c r="B1050" s="5" t="s">
        <v>195</v>
      </c>
      <c r="C1050" s="5" t="s">
        <v>14</v>
      </c>
      <c r="D1050" s="5" t="s">
        <v>1445</v>
      </c>
      <c r="E1050" s="6" t="s">
        <v>155</v>
      </c>
      <c r="F1050" s="5" t="s">
        <v>1360</v>
      </c>
      <c r="G1050" s="5" t="s">
        <v>17</v>
      </c>
      <c r="H1050" s="6">
        <v>0</v>
      </c>
      <c r="I1050" s="5" t="s">
        <v>1446</v>
      </c>
      <c r="J1050" s="6">
        <v>2</v>
      </c>
      <c r="K1050" s="7" t="str">
        <f t="shared" si="16"/>
        <v>P052</v>
      </c>
      <c r="L1050" s="8"/>
      <c r="M1050" s="9" t="str">
        <f t="shared" si="17"/>
        <v>PSL1615</v>
      </c>
      <c r="N1050" s="9">
        <f t="shared" si="18"/>
        <v>7</v>
      </c>
      <c r="O1050" s="9" t="str">
        <f t="shared" si="19"/>
        <v>K/2PSL1615</v>
      </c>
    </row>
    <row r="1051" spans="1:15" ht="17.5" x14ac:dyDescent="0.55000000000000004">
      <c r="A1051" s="10" t="s">
        <v>1442</v>
      </c>
      <c r="B1051" s="10" t="s">
        <v>195</v>
      </c>
      <c r="C1051" s="10" t="s">
        <v>14</v>
      </c>
      <c r="D1051" s="10" t="s">
        <v>1463</v>
      </c>
      <c r="E1051" s="11" t="s">
        <v>155</v>
      </c>
      <c r="F1051" s="10" t="s">
        <v>752</v>
      </c>
      <c r="G1051" s="10" t="s">
        <v>17</v>
      </c>
      <c r="H1051" s="11">
        <v>0</v>
      </c>
      <c r="I1051" s="10" t="s">
        <v>1446</v>
      </c>
      <c r="J1051" s="11">
        <v>2</v>
      </c>
      <c r="K1051" s="7" t="str">
        <f t="shared" si="16"/>
        <v>P052</v>
      </c>
      <c r="L1051" s="8"/>
      <c r="M1051" s="9" t="str">
        <f t="shared" si="17"/>
        <v>PSL1632</v>
      </c>
      <c r="N1051" s="9">
        <f t="shared" si="18"/>
        <v>7</v>
      </c>
      <c r="O1051" s="9" t="str">
        <f t="shared" si="19"/>
        <v>K/2PSL1632</v>
      </c>
    </row>
    <row r="1052" spans="1:15" ht="17.5" x14ac:dyDescent="0.55000000000000004">
      <c r="A1052" s="5" t="s">
        <v>1442</v>
      </c>
      <c r="B1052" s="5" t="s">
        <v>195</v>
      </c>
      <c r="C1052" s="5" t="s">
        <v>423</v>
      </c>
      <c r="D1052" s="5" t="s">
        <v>1464</v>
      </c>
      <c r="E1052" s="6" t="s">
        <v>144</v>
      </c>
      <c r="F1052" s="5" t="s">
        <v>1465</v>
      </c>
      <c r="G1052" s="5" t="s">
        <v>17</v>
      </c>
      <c r="H1052" s="6">
        <v>0</v>
      </c>
      <c r="I1052" s="5" t="s">
        <v>1446</v>
      </c>
      <c r="J1052" s="6">
        <v>2</v>
      </c>
      <c r="K1052" s="7" t="str">
        <f t="shared" si="16"/>
        <v>P052</v>
      </c>
      <c r="L1052" s="8"/>
      <c r="M1052" s="9" t="str">
        <f t="shared" si="17"/>
        <v>PSL1625</v>
      </c>
      <c r="N1052" s="9">
        <f t="shared" si="18"/>
        <v>7</v>
      </c>
      <c r="O1052" s="9" t="str">
        <f t="shared" si="19"/>
        <v>P/2PSL1625</v>
      </c>
    </row>
    <row r="1053" spans="1:15" ht="17.5" x14ac:dyDescent="0.55000000000000004">
      <c r="A1053" s="10" t="s">
        <v>1442</v>
      </c>
      <c r="B1053" s="10" t="s">
        <v>195</v>
      </c>
      <c r="C1053" s="10" t="s">
        <v>423</v>
      </c>
      <c r="D1053" s="10" t="s">
        <v>1448</v>
      </c>
      <c r="E1053" s="11" t="s">
        <v>144</v>
      </c>
      <c r="F1053" s="10" t="s">
        <v>1151</v>
      </c>
      <c r="G1053" s="10" t="s">
        <v>17</v>
      </c>
      <c r="H1053" s="11">
        <v>0</v>
      </c>
      <c r="I1053" s="10" t="s">
        <v>1444</v>
      </c>
      <c r="J1053" s="11">
        <v>2</v>
      </c>
      <c r="K1053" s="7" t="str">
        <f t="shared" si="16"/>
        <v>P052</v>
      </c>
      <c r="L1053" s="8"/>
      <c r="M1053" s="9" t="str">
        <f t="shared" si="17"/>
        <v>PSL1626</v>
      </c>
      <c r="N1053" s="9">
        <f t="shared" si="18"/>
        <v>7</v>
      </c>
      <c r="O1053" s="9" t="str">
        <f t="shared" si="19"/>
        <v>P/2PSL1626</v>
      </c>
    </row>
    <row r="1054" spans="1:15" ht="17.5" x14ac:dyDescent="0.55000000000000004">
      <c r="A1054" s="5" t="s">
        <v>1442</v>
      </c>
      <c r="B1054" s="5" t="s">
        <v>195</v>
      </c>
      <c r="C1054" s="5" t="s">
        <v>1467</v>
      </c>
      <c r="D1054" s="5" t="s">
        <v>1468</v>
      </c>
      <c r="E1054" s="6" t="s">
        <v>155</v>
      </c>
      <c r="F1054" s="5" t="s">
        <v>1469</v>
      </c>
      <c r="G1054" s="5" t="s">
        <v>17</v>
      </c>
      <c r="H1054" s="6">
        <v>0</v>
      </c>
      <c r="I1054" s="5" t="s">
        <v>1446</v>
      </c>
      <c r="J1054" s="6">
        <v>2</v>
      </c>
      <c r="K1054" s="7" t="str">
        <f t="shared" si="16"/>
        <v>P052</v>
      </c>
      <c r="L1054" s="8"/>
      <c r="M1054" s="9" t="str">
        <f t="shared" si="17"/>
        <v>PSL1617</v>
      </c>
      <c r="N1054" s="9">
        <f t="shared" si="18"/>
        <v>7</v>
      </c>
      <c r="O1054" s="9" t="str">
        <f t="shared" si="19"/>
        <v>K/2PSL1617</v>
      </c>
    </row>
    <row r="1055" spans="1:15" ht="17.5" x14ac:dyDescent="0.55000000000000004">
      <c r="A1055" s="10" t="s">
        <v>1442</v>
      </c>
      <c r="B1055" s="10" t="s">
        <v>195</v>
      </c>
      <c r="C1055" s="10" t="s">
        <v>25</v>
      </c>
      <c r="D1055" s="10" t="s">
        <v>1447</v>
      </c>
      <c r="E1055" s="11" t="s">
        <v>155</v>
      </c>
      <c r="F1055" s="10" t="s">
        <v>234</v>
      </c>
      <c r="G1055" s="10" t="s">
        <v>17</v>
      </c>
      <c r="H1055" s="11">
        <v>0</v>
      </c>
      <c r="I1055" s="10" t="s">
        <v>1444</v>
      </c>
      <c r="J1055" s="11">
        <v>2</v>
      </c>
      <c r="K1055" s="7" t="str">
        <f t="shared" si="16"/>
        <v>P052</v>
      </c>
      <c r="L1055" s="8"/>
      <c r="M1055" s="9" t="str">
        <f t="shared" si="17"/>
        <v>PSL1636</v>
      </c>
      <c r="N1055" s="9">
        <f t="shared" si="18"/>
        <v>7</v>
      </c>
      <c r="O1055" s="9" t="str">
        <f t="shared" si="19"/>
        <v>K/2PSL1636</v>
      </c>
    </row>
    <row r="1056" spans="1:15" ht="17.5" x14ac:dyDescent="0.55000000000000004">
      <c r="A1056" s="5" t="s">
        <v>1442</v>
      </c>
      <c r="B1056" s="5" t="s">
        <v>195</v>
      </c>
      <c r="C1056" s="5" t="s">
        <v>221</v>
      </c>
      <c r="D1056" s="5" t="s">
        <v>1450</v>
      </c>
      <c r="E1056" s="6" t="s">
        <v>155</v>
      </c>
      <c r="F1056" s="5" t="s">
        <v>438</v>
      </c>
      <c r="G1056" s="5" t="s">
        <v>17</v>
      </c>
      <c r="H1056" s="6">
        <v>0</v>
      </c>
      <c r="I1056" s="5" t="s">
        <v>1446</v>
      </c>
      <c r="J1056" s="6">
        <v>2</v>
      </c>
      <c r="K1056" s="7" t="str">
        <f t="shared" si="16"/>
        <v>P052</v>
      </c>
      <c r="L1056" s="8"/>
      <c r="M1056" s="9" t="str">
        <f t="shared" si="17"/>
        <v>PSL1624</v>
      </c>
      <c r="N1056" s="9">
        <f t="shared" si="18"/>
        <v>7</v>
      </c>
      <c r="O1056" s="9" t="str">
        <f t="shared" si="19"/>
        <v>K/2PSL1624</v>
      </c>
    </row>
    <row r="1057" spans="1:15" ht="17.5" x14ac:dyDescent="0.55000000000000004">
      <c r="A1057" s="10" t="s">
        <v>1442</v>
      </c>
      <c r="B1057" s="10" t="s">
        <v>195</v>
      </c>
      <c r="C1057" s="10" t="s">
        <v>64</v>
      </c>
      <c r="D1057" s="10" t="s">
        <v>1454</v>
      </c>
      <c r="E1057" s="11" t="s">
        <v>155</v>
      </c>
      <c r="F1057" s="10" t="s">
        <v>1455</v>
      </c>
      <c r="G1057" s="10" t="s">
        <v>17</v>
      </c>
      <c r="H1057" s="11">
        <v>0</v>
      </c>
      <c r="I1057" s="10" t="s">
        <v>1446</v>
      </c>
      <c r="J1057" s="11">
        <v>2</v>
      </c>
      <c r="K1057" s="7" t="str">
        <f t="shared" si="16"/>
        <v>P052</v>
      </c>
      <c r="L1057" s="8"/>
      <c r="M1057" s="9" t="str">
        <f t="shared" si="17"/>
        <v>PSL1616</v>
      </c>
      <c r="N1057" s="9">
        <f t="shared" si="18"/>
        <v>7</v>
      </c>
      <c r="O1057" s="9" t="str">
        <f t="shared" si="19"/>
        <v>K/2PSL1616</v>
      </c>
    </row>
    <row r="1058" spans="1:15" ht="17.5" x14ac:dyDescent="0.55000000000000004">
      <c r="A1058" s="5" t="s">
        <v>1442</v>
      </c>
      <c r="B1058" s="5" t="s">
        <v>195</v>
      </c>
      <c r="C1058" s="5" t="s">
        <v>64</v>
      </c>
      <c r="D1058" s="5" t="s">
        <v>1449</v>
      </c>
      <c r="E1058" s="6" t="s">
        <v>155</v>
      </c>
      <c r="F1058" s="5" t="s">
        <v>864</v>
      </c>
      <c r="G1058" s="5" t="s">
        <v>17</v>
      </c>
      <c r="H1058" s="6">
        <v>0</v>
      </c>
      <c r="I1058" s="5" t="s">
        <v>1446</v>
      </c>
      <c r="J1058" s="6">
        <v>2</v>
      </c>
      <c r="K1058" s="7" t="str">
        <f t="shared" si="16"/>
        <v>P052</v>
      </c>
      <c r="L1058" s="8"/>
      <c r="M1058" s="9" t="str">
        <f t="shared" si="17"/>
        <v>PSL1635</v>
      </c>
      <c r="N1058" s="9">
        <f t="shared" si="18"/>
        <v>7</v>
      </c>
      <c r="O1058" s="9" t="str">
        <f t="shared" si="19"/>
        <v>K/2PSL1635</v>
      </c>
    </row>
    <row r="1059" spans="1:15" ht="17.5" x14ac:dyDescent="0.55000000000000004">
      <c r="A1059" s="10" t="s">
        <v>1442</v>
      </c>
      <c r="B1059" s="10" t="s">
        <v>195</v>
      </c>
      <c r="C1059" s="10" t="s">
        <v>224</v>
      </c>
      <c r="D1059" s="10" t="s">
        <v>1450</v>
      </c>
      <c r="E1059" s="11" t="s">
        <v>144</v>
      </c>
      <c r="F1059" s="10" t="s">
        <v>438</v>
      </c>
      <c r="G1059" s="10" t="s">
        <v>17</v>
      </c>
      <c r="H1059" s="11">
        <v>0</v>
      </c>
      <c r="I1059" s="10" t="s">
        <v>1446</v>
      </c>
      <c r="J1059" s="11">
        <v>2</v>
      </c>
      <c r="K1059" s="7" t="str">
        <f t="shared" si="16"/>
        <v>P052</v>
      </c>
      <c r="L1059" s="8"/>
      <c r="M1059" s="9" t="str">
        <f t="shared" si="17"/>
        <v>PSL1624</v>
      </c>
      <c r="N1059" s="9">
        <f t="shared" si="18"/>
        <v>7</v>
      </c>
      <c r="O1059" s="9" t="str">
        <f t="shared" si="19"/>
        <v>P/2PSL1624</v>
      </c>
    </row>
    <row r="1060" spans="1:15" ht="17.5" x14ac:dyDescent="0.55000000000000004">
      <c r="A1060" s="5" t="s">
        <v>1442</v>
      </c>
      <c r="B1060" s="5" t="s">
        <v>195</v>
      </c>
      <c r="C1060" s="5" t="s">
        <v>101</v>
      </c>
      <c r="D1060" s="5" t="s">
        <v>1457</v>
      </c>
      <c r="E1060" s="6" t="s">
        <v>155</v>
      </c>
      <c r="F1060" s="5" t="s">
        <v>1458</v>
      </c>
      <c r="G1060" s="5" t="s">
        <v>17</v>
      </c>
      <c r="H1060" s="6">
        <v>0</v>
      </c>
      <c r="I1060" s="5" t="s">
        <v>1444</v>
      </c>
      <c r="J1060" s="6">
        <v>2</v>
      </c>
      <c r="K1060" s="7" t="str">
        <f t="shared" si="16"/>
        <v>P052</v>
      </c>
      <c r="L1060" s="8"/>
      <c r="M1060" s="9" t="str">
        <f t="shared" si="17"/>
        <v>PSL1673</v>
      </c>
      <c r="N1060" s="9">
        <f t="shared" si="18"/>
        <v>7</v>
      </c>
      <c r="O1060" s="9" t="str">
        <f t="shared" si="19"/>
        <v>K/2PSL1673</v>
      </c>
    </row>
    <row r="1061" spans="1:15" ht="17.5" x14ac:dyDescent="0.55000000000000004">
      <c r="A1061" s="10" t="s">
        <v>1442</v>
      </c>
      <c r="B1061" s="10" t="s">
        <v>195</v>
      </c>
      <c r="C1061" s="10" t="s">
        <v>1470</v>
      </c>
      <c r="D1061" s="10" t="s">
        <v>1443</v>
      </c>
      <c r="E1061" s="11" t="s">
        <v>155</v>
      </c>
      <c r="F1061" s="10" t="s">
        <v>715</v>
      </c>
      <c r="G1061" s="10" t="s">
        <v>17</v>
      </c>
      <c r="H1061" s="11">
        <v>0</v>
      </c>
      <c r="I1061" s="10" t="s">
        <v>1444</v>
      </c>
      <c r="J1061" s="11">
        <v>2</v>
      </c>
      <c r="K1061" s="7" t="str">
        <f t="shared" si="16"/>
        <v>P052</v>
      </c>
      <c r="L1061" s="8"/>
      <c r="M1061" s="9" t="str">
        <f t="shared" si="17"/>
        <v>PSL1608</v>
      </c>
      <c r="N1061" s="9">
        <f t="shared" si="18"/>
        <v>7</v>
      </c>
      <c r="O1061" s="9" t="str">
        <f t="shared" si="19"/>
        <v>K/2PSL1608</v>
      </c>
    </row>
    <row r="1062" spans="1:15" ht="17.5" x14ac:dyDescent="0.55000000000000004">
      <c r="A1062" s="5" t="s">
        <v>1442</v>
      </c>
      <c r="B1062" s="5" t="s">
        <v>195</v>
      </c>
      <c r="C1062" s="5" t="s">
        <v>1471</v>
      </c>
      <c r="D1062" s="5" t="s">
        <v>1443</v>
      </c>
      <c r="E1062" s="6" t="s">
        <v>144</v>
      </c>
      <c r="F1062" s="5" t="s">
        <v>715</v>
      </c>
      <c r="G1062" s="5" t="s">
        <v>17</v>
      </c>
      <c r="H1062" s="6">
        <v>0</v>
      </c>
      <c r="I1062" s="5" t="s">
        <v>1446</v>
      </c>
      <c r="J1062" s="6">
        <v>2</v>
      </c>
      <c r="K1062" s="7" t="str">
        <f t="shared" si="16"/>
        <v>P052</v>
      </c>
      <c r="L1062" s="8"/>
      <c r="M1062" s="9" t="str">
        <f t="shared" si="17"/>
        <v>PSL1608</v>
      </c>
      <c r="N1062" s="9">
        <f t="shared" si="18"/>
        <v>7</v>
      </c>
      <c r="O1062" s="9" t="str">
        <f t="shared" si="19"/>
        <v>P/2PSL1608</v>
      </c>
    </row>
    <row r="1063" spans="1:15" ht="17.5" x14ac:dyDescent="0.55000000000000004">
      <c r="A1063" s="10" t="s">
        <v>1472</v>
      </c>
      <c r="B1063" s="11" t="s">
        <v>52</v>
      </c>
      <c r="C1063" s="11" t="s">
        <v>211</v>
      </c>
      <c r="D1063" s="13" t="s">
        <v>1473</v>
      </c>
      <c r="E1063" s="11" t="s">
        <v>16</v>
      </c>
      <c r="F1063" s="11" t="s">
        <v>1474</v>
      </c>
      <c r="G1063" s="11" t="s">
        <v>17</v>
      </c>
      <c r="H1063" s="11">
        <v>0</v>
      </c>
      <c r="I1063" s="11" t="s">
        <v>1475</v>
      </c>
      <c r="J1063" s="11">
        <v>1</v>
      </c>
      <c r="K1063" s="7" t="str">
        <f t="shared" si="16"/>
        <v>P054</v>
      </c>
      <c r="L1063" s="8"/>
      <c r="M1063" s="9" t="str">
        <f t="shared" si="17"/>
        <v>MPI1521</v>
      </c>
      <c r="N1063" s="9">
        <f t="shared" si="18"/>
        <v>7</v>
      </c>
      <c r="O1063" s="9" t="str">
        <f t="shared" si="19"/>
        <v>K/1MPI1521</v>
      </c>
    </row>
    <row r="1064" spans="1:15" ht="17.5" x14ac:dyDescent="0.55000000000000004">
      <c r="A1064" s="5" t="s">
        <v>1472</v>
      </c>
      <c r="B1064" s="6" t="s">
        <v>52</v>
      </c>
      <c r="C1064" s="6" t="s">
        <v>1476</v>
      </c>
      <c r="D1064" s="12" t="s">
        <v>1477</v>
      </c>
      <c r="E1064" s="6" t="s">
        <v>16</v>
      </c>
      <c r="F1064" s="6" t="s">
        <v>1478</v>
      </c>
      <c r="G1064" s="6" t="s">
        <v>17</v>
      </c>
      <c r="H1064" s="6">
        <v>0</v>
      </c>
      <c r="I1064" s="6" t="s">
        <v>1475</v>
      </c>
      <c r="J1064" s="6">
        <v>1</v>
      </c>
      <c r="K1064" s="7" t="str">
        <f t="shared" si="16"/>
        <v>P054</v>
      </c>
      <c r="L1064" s="8"/>
      <c r="M1064" s="9" t="str">
        <f t="shared" si="17"/>
        <v>MPI1504</v>
      </c>
      <c r="N1064" s="9">
        <f t="shared" si="18"/>
        <v>7</v>
      </c>
      <c r="O1064" s="9" t="str">
        <f t="shared" si="19"/>
        <v>K/1MPI1504</v>
      </c>
    </row>
    <row r="1065" spans="1:15" ht="17.5" x14ac:dyDescent="0.55000000000000004">
      <c r="A1065" s="10" t="s">
        <v>1472</v>
      </c>
      <c r="B1065" s="11" t="s">
        <v>52</v>
      </c>
      <c r="C1065" s="11" t="s">
        <v>1476</v>
      </c>
      <c r="D1065" s="13" t="s">
        <v>1479</v>
      </c>
      <c r="E1065" s="11" t="s">
        <v>16</v>
      </c>
      <c r="F1065" s="11" t="s">
        <v>1474</v>
      </c>
      <c r="G1065" s="11" t="s">
        <v>17</v>
      </c>
      <c r="H1065" s="11">
        <v>0</v>
      </c>
      <c r="I1065" s="11" t="s">
        <v>1475</v>
      </c>
      <c r="J1065" s="11">
        <v>1</v>
      </c>
      <c r="K1065" s="7" t="str">
        <f t="shared" si="16"/>
        <v>P054</v>
      </c>
      <c r="L1065" s="8"/>
      <c r="M1065" s="9" t="str">
        <f t="shared" si="17"/>
        <v>MPI1505</v>
      </c>
      <c r="N1065" s="9">
        <f t="shared" si="18"/>
        <v>7</v>
      </c>
      <c r="O1065" s="9" t="str">
        <f t="shared" si="19"/>
        <v>K/1MPI1505</v>
      </c>
    </row>
    <row r="1066" spans="1:15" ht="17.5" x14ac:dyDescent="0.55000000000000004">
      <c r="A1066" s="5" t="s">
        <v>1472</v>
      </c>
      <c r="B1066" s="6" t="s">
        <v>52</v>
      </c>
      <c r="C1066" s="6" t="s">
        <v>198</v>
      </c>
      <c r="D1066" s="12" t="s">
        <v>1480</v>
      </c>
      <c r="E1066" s="6" t="s">
        <v>16</v>
      </c>
      <c r="F1066" s="6" t="s">
        <v>1408</v>
      </c>
      <c r="G1066" s="6" t="s">
        <v>17</v>
      </c>
      <c r="H1066" s="6">
        <v>0</v>
      </c>
      <c r="I1066" s="6" t="s">
        <v>1475</v>
      </c>
      <c r="J1066" s="6">
        <v>3</v>
      </c>
      <c r="K1066" s="7" t="str">
        <f t="shared" si="16"/>
        <v>P054</v>
      </c>
      <c r="L1066" s="8"/>
      <c r="M1066" s="9" t="str">
        <f t="shared" si="17"/>
        <v>MPI1541</v>
      </c>
      <c r="N1066" s="9">
        <f t="shared" si="18"/>
        <v>7</v>
      </c>
      <c r="O1066" s="9" t="str">
        <f t="shared" si="19"/>
        <v>K/1MPI1541</v>
      </c>
    </row>
    <row r="1067" spans="1:15" ht="17.5" x14ac:dyDescent="0.55000000000000004">
      <c r="A1067" s="10" t="s">
        <v>1472</v>
      </c>
      <c r="B1067" s="11" t="s">
        <v>52</v>
      </c>
      <c r="C1067" s="11" t="s">
        <v>1481</v>
      </c>
      <c r="D1067" s="13" t="s">
        <v>1482</v>
      </c>
      <c r="E1067" s="11" t="s">
        <v>16</v>
      </c>
      <c r="F1067" s="11" t="s">
        <v>912</v>
      </c>
      <c r="G1067" s="11" t="s">
        <v>17</v>
      </c>
      <c r="H1067" s="11">
        <v>0</v>
      </c>
      <c r="I1067" s="11" t="s">
        <v>1475</v>
      </c>
      <c r="J1067" s="11">
        <v>1</v>
      </c>
      <c r="K1067" s="7" t="str">
        <f t="shared" si="16"/>
        <v>P054</v>
      </c>
      <c r="L1067" s="8"/>
      <c r="M1067" s="9" t="str">
        <f t="shared" si="17"/>
        <v>MPI1526</v>
      </c>
      <c r="N1067" s="9">
        <f t="shared" si="18"/>
        <v>7</v>
      </c>
      <c r="O1067" s="9" t="str">
        <f t="shared" si="19"/>
        <v>K/1MPI1526</v>
      </c>
    </row>
    <row r="1068" spans="1:15" ht="17.5" x14ac:dyDescent="0.55000000000000004">
      <c r="A1068" s="5" t="s">
        <v>1472</v>
      </c>
      <c r="B1068" s="6" t="s">
        <v>195</v>
      </c>
      <c r="C1068" s="6" t="s">
        <v>14</v>
      </c>
      <c r="D1068" s="12" t="s">
        <v>1483</v>
      </c>
      <c r="E1068" s="6" t="s">
        <v>16</v>
      </c>
      <c r="F1068" s="6" t="s">
        <v>1484</v>
      </c>
      <c r="G1068" s="6" t="s">
        <v>17</v>
      </c>
      <c r="H1068" s="6">
        <v>0</v>
      </c>
      <c r="I1068" s="6" t="s">
        <v>1475</v>
      </c>
      <c r="J1068" s="6">
        <v>1</v>
      </c>
      <c r="K1068" s="7" t="str">
        <f t="shared" si="16"/>
        <v>P054</v>
      </c>
      <c r="L1068" s="8"/>
      <c r="M1068" s="9" t="str">
        <f t="shared" si="17"/>
        <v>MPI1525</v>
      </c>
      <c r="N1068" s="9">
        <f t="shared" si="18"/>
        <v>7</v>
      </c>
      <c r="O1068" s="9" t="str">
        <f t="shared" si="19"/>
        <v>K/1MPI1525</v>
      </c>
    </row>
    <row r="1069" spans="1:15" ht="17.5" x14ac:dyDescent="0.55000000000000004">
      <c r="A1069" s="10" t="s">
        <v>1472</v>
      </c>
      <c r="B1069" s="11" t="s">
        <v>195</v>
      </c>
      <c r="C1069" s="11" t="s">
        <v>1175</v>
      </c>
      <c r="D1069" s="13" t="s">
        <v>1485</v>
      </c>
      <c r="E1069" s="11" t="s">
        <v>16</v>
      </c>
      <c r="F1069" s="11" t="s">
        <v>1486</v>
      </c>
      <c r="G1069" s="11" t="s">
        <v>17</v>
      </c>
      <c r="H1069" s="11">
        <v>0</v>
      </c>
      <c r="I1069" s="11" t="s">
        <v>1475</v>
      </c>
      <c r="J1069" s="11">
        <v>1</v>
      </c>
      <c r="K1069" s="7" t="str">
        <f t="shared" si="16"/>
        <v>P054</v>
      </c>
      <c r="L1069" s="8"/>
      <c r="M1069" s="9" t="str">
        <f t="shared" si="17"/>
        <v>MPI1502</v>
      </c>
      <c r="N1069" s="9">
        <f t="shared" si="18"/>
        <v>7</v>
      </c>
      <c r="O1069" s="9" t="str">
        <f t="shared" si="19"/>
        <v>K/1MPI1502</v>
      </c>
    </row>
    <row r="1070" spans="1:15" ht="17.5" x14ac:dyDescent="0.55000000000000004">
      <c r="A1070" s="5" t="s">
        <v>1472</v>
      </c>
      <c r="B1070" s="6" t="s">
        <v>195</v>
      </c>
      <c r="C1070" s="6" t="s">
        <v>1175</v>
      </c>
      <c r="D1070" s="12" t="s">
        <v>1487</v>
      </c>
      <c r="E1070" s="6" t="s">
        <v>16</v>
      </c>
      <c r="F1070" s="6" t="s">
        <v>422</v>
      </c>
      <c r="G1070" s="6" t="s">
        <v>17</v>
      </c>
      <c r="H1070" s="6">
        <v>0</v>
      </c>
      <c r="I1070" s="6" t="s">
        <v>1475</v>
      </c>
      <c r="J1070" s="6">
        <v>1</v>
      </c>
      <c r="K1070" s="7" t="str">
        <f t="shared" si="16"/>
        <v>P054</v>
      </c>
      <c r="L1070" s="8"/>
      <c r="M1070" s="9" t="str">
        <f t="shared" si="17"/>
        <v>MPI1503</v>
      </c>
      <c r="N1070" s="9">
        <f t="shared" si="18"/>
        <v>7</v>
      </c>
      <c r="O1070" s="9" t="str">
        <f t="shared" si="19"/>
        <v>K/1MPI1503</v>
      </c>
    </row>
    <row r="1071" spans="1:15" ht="17.5" x14ac:dyDescent="0.55000000000000004">
      <c r="A1071" s="10" t="s">
        <v>1472</v>
      </c>
      <c r="B1071" s="11" t="s">
        <v>195</v>
      </c>
      <c r="C1071" s="11" t="s">
        <v>25</v>
      </c>
      <c r="D1071" s="13" t="s">
        <v>1488</v>
      </c>
      <c r="E1071" s="11" t="s">
        <v>16</v>
      </c>
      <c r="F1071" s="11" t="s">
        <v>1489</v>
      </c>
      <c r="G1071" s="11" t="s">
        <v>17</v>
      </c>
      <c r="H1071" s="11">
        <v>0</v>
      </c>
      <c r="I1071" s="11" t="s">
        <v>1475</v>
      </c>
      <c r="J1071" s="11">
        <v>1</v>
      </c>
      <c r="K1071" s="7" t="str">
        <f t="shared" si="16"/>
        <v>P054</v>
      </c>
      <c r="L1071" s="8"/>
      <c r="M1071" s="9" t="str">
        <f t="shared" si="17"/>
        <v>MPI1524</v>
      </c>
      <c r="N1071" s="9">
        <f t="shared" si="18"/>
        <v>7</v>
      </c>
      <c r="O1071" s="9" t="str">
        <f t="shared" si="19"/>
        <v>K/1MPI1524</v>
      </c>
    </row>
    <row r="1072" spans="1:15" ht="17.5" x14ac:dyDescent="0.55000000000000004">
      <c r="A1072" s="5" t="s">
        <v>1472</v>
      </c>
      <c r="B1072" s="6" t="s">
        <v>195</v>
      </c>
      <c r="C1072" s="6" t="s">
        <v>1490</v>
      </c>
      <c r="D1072" s="12" t="s">
        <v>1491</v>
      </c>
      <c r="E1072" s="6" t="s">
        <v>16</v>
      </c>
      <c r="F1072" s="6" t="s">
        <v>1474</v>
      </c>
      <c r="G1072" s="6" t="s">
        <v>17</v>
      </c>
      <c r="H1072" s="6">
        <v>0</v>
      </c>
      <c r="I1072" s="6" t="s">
        <v>1475</v>
      </c>
      <c r="J1072" s="6">
        <v>1</v>
      </c>
      <c r="K1072" s="7" t="str">
        <f t="shared" si="16"/>
        <v>P054</v>
      </c>
      <c r="L1072" s="8"/>
      <c r="M1072" s="9" t="str">
        <f t="shared" si="17"/>
        <v>MPI1522</v>
      </c>
      <c r="N1072" s="9">
        <f t="shared" si="18"/>
        <v>7</v>
      </c>
      <c r="O1072" s="9" t="str">
        <f t="shared" si="19"/>
        <v>K/1MPI1522</v>
      </c>
    </row>
    <row r="1073" spans="1:15" ht="17.5" x14ac:dyDescent="0.55000000000000004">
      <c r="A1073" s="10" t="s">
        <v>1472</v>
      </c>
      <c r="B1073" s="11" t="s">
        <v>195</v>
      </c>
      <c r="C1073" s="11" t="s">
        <v>1492</v>
      </c>
      <c r="D1073" s="13" t="s">
        <v>1493</v>
      </c>
      <c r="E1073" s="11" t="s">
        <v>16</v>
      </c>
      <c r="F1073" s="11" t="s">
        <v>1494</v>
      </c>
      <c r="G1073" s="11" t="s">
        <v>17</v>
      </c>
      <c r="H1073" s="11">
        <v>0</v>
      </c>
      <c r="I1073" s="11" t="s">
        <v>1475</v>
      </c>
      <c r="J1073" s="11">
        <v>1</v>
      </c>
      <c r="K1073" s="7" t="str">
        <f t="shared" si="16"/>
        <v>P054</v>
      </c>
      <c r="L1073" s="8"/>
      <c r="M1073" s="9" t="str">
        <f t="shared" si="17"/>
        <v>MPI1523</v>
      </c>
      <c r="N1073" s="9">
        <f t="shared" si="18"/>
        <v>7</v>
      </c>
      <c r="O1073" s="9" t="str">
        <f t="shared" si="19"/>
        <v>K/1MPI1523</v>
      </c>
    </row>
    <row r="1074" spans="1:15" ht="17.5" x14ac:dyDescent="0.55000000000000004">
      <c r="A1074" s="5" t="s">
        <v>1495</v>
      </c>
      <c r="B1074" s="6" t="s">
        <v>13</v>
      </c>
      <c r="C1074" s="6" t="s">
        <v>210</v>
      </c>
      <c r="D1074" s="5" t="s">
        <v>1496</v>
      </c>
      <c r="E1074" s="6" t="s">
        <v>16</v>
      </c>
      <c r="F1074" s="6" t="s">
        <v>650</v>
      </c>
      <c r="G1074" s="6" t="s">
        <v>17</v>
      </c>
      <c r="H1074" s="6">
        <v>0</v>
      </c>
      <c r="I1074" s="6" t="s">
        <v>1497</v>
      </c>
      <c r="J1074" s="6">
        <v>2</v>
      </c>
      <c r="K1074" s="7" t="str">
        <f t="shared" si="16"/>
        <v>P055</v>
      </c>
      <c r="L1074" s="8"/>
      <c r="M1074" s="9" t="str">
        <f t="shared" si="17"/>
        <v>LOG1601</v>
      </c>
      <c r="N1074" s="9">
        <f t="shared" si="18"/>
        <v>7</v>
      </c>
      <c r="O1074" s="9" t="str">
        <f t="shared" si="19"/>
        <v>K/1LOG1601</v>
      </c>
    </row>
    <row r="1075" spans="1:15" ht="17.5" x14ac:dyDescent="0.55000000000000004">
      <c r="A1075" s="10" t="s">
        <v>1495</v>
      </c>
      <c r="B1075" s="11" t="s">
        <v>13</v>
      </c>
      <c r="C1075" s="11" t="s">
        <v>198</v>
      </c>
      <c r="D1075" s="10" t="s">
        <v>1498</v>
      </c>
      <c r="E1075" s="11" t="s">
        <v>16</v>
      </c>
      <c r="F1075" s="11" t="s">
        <v>458</v>
      </c>
      <c r="G1075" s="11" t="s">
        <v>17</v>
      </c>
      <c r="H1075" s="11">
        <v>0</v>
      </c>
      <c r="I1075" s="11" t="s">
        <v>1497</v>
      </c>
      <c r="J1075" s="11">
        <v>2</v>
      </c>
      <c r="K1075" s="7" t="str">
        <f t="shared" si="16"/>
        <v>P055</v>
      </c>
      <c r="L1075" s="8"/>
      <c r="M1075" s="9" t="str">
        <f t="shared" si="17"/>
        <v>LOG1643</v>
      </c>
      <c r="N1075" s="9">
        <f t="shared" si="18"/>
        <v>7</v>
      </c>
      <c r="O1075" s="9" t="str">
        <f t="shared" si="19"/>
        <v>K/1LOG1643</v>
      </c>
    </row>
    <row r="1076" spans="1:15" ht="17.5" x14ac:dyDescent="0.55000000000000004">
      <c r="A1076" s="5" t="s">
        <v>1495</v>
      </c>
      <c r="B1076" s="6" t="s">
        <v>31</v>
      </c>
      <c r="C1076" s="6" t="s">
        <v>210</v>
      </c>
      <c r="D1076" s="5" t="s">
        <v>1499</v>
      </c>
      <c r="E1076" s="6" t="s">
        <v>16</v>
      </c>
      <c r="F1076" s="6" t="s">
        <v>523</v>
      </c>
      <c r="G1076" s="6" t="s">
        <v>17</v>
      </c>
      <c r="H1076" s="6">
        <v>0</v>
      </c>
      <c r="I1076" s="6" t="s">
        <v>1497</v>
      </c>
      <c r="J1076" s="6">
        <v>2</v>
      </c>
      <c r="K1076" s="7" t="str">
        <f t="shared" si="16"/>
        <v>P055</v>
      </c>
      <c r="L1076" s="8"/>
      <c r="M1076" s="9" t="str">
        <f t="shared" si="17"/>
        <v>LOG1623</v>
      </c>
      <c r="N1076" s="9">
        <f t="shared" si="18"/>
        <v>7</v>
      </c>
      <c r="O1076" s="9" t="str">
        <f t="shared" si="19"/>
        <v>K/1LOG1623</v>
      </c>
    </row>
    <row r="1077" spans="1:15" ht="17.5" x14ac:dyDescent="0.55000000000000004">
      <c r="A1077" s="10" t="s">
        <v>1495</v>
      </c>
      <c r="B1077" s="11" t="s">
        <v>31</v>
      </c>
      <c r="C1077" s="11" t="s">
        <v>210</v>
      </c>
      <c r="D1077" s="10" t="s">
        <v>1500</v>
      </c>
      <c r="E1077" s="11" t="s">
        <v>16</v>
      </c>
      <c r="F1077" s="11" t="s">
        <v>600</v>
      </c>
      <c r="G1077" s="11" t="s">
        <v>17</v>
      </c>
      <c r="H1077" s="11">
        <v>0</v>
      </c>
      <c r="I1077" s="11" t="s">
        <v>1497</v>
      </c>
      <c r="J1077" s="11">
        <v>1</v>
      </c>
      <c r="K1077" s="7" t="str">
        <f t="shared" si="16"/>
        <v>P055</v>
      </c>
      <c r="L1077" s="8"/>
      <c r="M1077" s="9" t="str">
        <f t="shared" si="17"/>
        <v>LOG1631</v>
      </c>
      <c r="N1077" s="9">
        <f t="shared" si="18"/>
        <v>7</v>
      </c>
      <c r="O1077" s="9" t="str">
        <f t="shared" si="19"/>
        <v>K/1LOG1631</v>
      </c>
    </row>
    <row r="1078" spans="1:15" ht="17.5" x14ac:dyDescent="0.55000000000000004">
      <c r="A1078" s="5" t="s">
        <v>1495</v>
      </c>
      <c r="B1078" s="6" t="s">
        <v>31</v>
      </c>
      <c r="C1078" s="6" t="s">
        <v>198</v>
      </c>
      <c r="D1078" s="5" t="s">
        <v>1501</v>
      </c>
      <c r="E1078" s="6" t="s">
        <v>16</v>
      </c>
      <c r="F1078" s="6" t="s">
        <v>172</v>
      </c>
      <c r="G1078" s="6" t="s">
        <v>17</v>
      </c>
      <c r="H1078" s="6">
        <v>0</v>
      </c>
      <c r="I1078" s="6" t="s">
        <v>1497</v>
      </c>
      <c r="J1078" s="6">
        <v>2</v>
      </c>
      <c r="K1078" s="7" t="str">
        <f t="shared" si="16"/>
        <v>P055</v>
      </c>
      <c r="L1078" s="8"/>
      <c r="M1078" s="9" t="str">
        <f t="shared" si="17"/>
        <v>LOG1612</v>
      </c>
      <c r="N1078" s="9">
        <f t="shared" si="18"/>
        <v>7</v>
      </c>
      <c r="O1078" s="9" t="str">
        <f t="shared" si="19"/>
        <v>K/1LOG1612</v>
      </c>
    </row>
    <row r="1079" spans="1:15" ht="17.5" x14ac:dyDescent="0.55000000000000004">
      <c r="A1079" s="10" t="s">
        <v>1495</v>
      </c>
      <c r="B1079" s="11" t="s">
        <v>31</v>
      </c>
      <c r="C1079" s="11" t="s">
        <v>198</v>
      </c>
      <c r="D1079" s="10" t="s">
        <v>1502</v>
      </c>
      <c r="E1079" s="11" t="s">
        <v>16</v>
      </c>
      <c r="F1079" s="11"/>
      <c r="G1079" s="11" t="s">
        <v>17</v>
      </c>
      <c r="H1079" s="11">
        <v>0</v>
      </c>
      <c r="I1079" s="11" t="s">
        <v>1497</v>
      </c>
      <c r="J1079" s="11">
        <v>2</v>
      </c>
      <c r="K1079" s="7" t="str">
        <f t="shared" si="16"/>
        <v>P055</v>
      </c>
      <c r="L1079" s="8"/>
      <c r="M1079" s="9" t="str">
        <f t="shared" si="17"/>
        <v>LOG1622</v>
      </c>
      <c r="N1079" s="9">
        <f t="shared" si="18"/>
        <v>7</v>
      </c>
      <c r="O1079" s="9" t="str">
        <f t="shared" si="19"/>
        <v>K/1LOG1622</v>
      </c>
    </row>
    <row r="1080" spans="1:15" ht="17.5" x14ac:dyDescent="0.55000000000000004">
      <c r="A1080" s="5" t="s">
        <v>1495</v>
      </c>
      <c r="B1080" s="6" t="s">
        <v>41</v>
      </c>
      <c r="C1080" s="6" t="s">
        <v>426</v>
      </c>
      <c r="D1080" s="5" t="s">
        <v>1501</v>
      </c>
      <c r="E1080" s="6" t="s">
        <v>50</v>
      </c>
      <c r="F1080" s="6" t="s">
        <v>172</v>
      </c>
      <c r="G1080" s="6" t="s">
        <v>17</v>
      </c>
      <c r="H1080" s="6">
        <v>0</v>
      </c>
      <c r="I1080" s="6" t="s">
        <v>1497</v>
      </c>
      <c r="J1080" s="6">
        <v>2</v>
      </c>
      <c r="K1080" s="7" t="str">
        <f t="shared" si="16"/>
        <v>P055</v>
      </c>
      <c r="L1080" s="8"/>
      <c r="M1080" s="9" t="str">
        <f t="shared" si="17"/>
        <v>LOG1612</v>
      </c>
      <c r="N1080" s="9">
        <f t="shared" si="18"/>
        <v>7</v>
      </c>
      <c r="O1080" s="9" t="str">
        <f t="shared" si="19"/>
        <v>P/1LOG1612</v>
      </c>
    </row>
    <row r="1081" spans="1:15" ht="17.5" x14ac:dyDescent="0.55000000000000004">
      <c r="A1081" s="10" t="s">
        <v>1495</v>
      </c>
      <c r="B1081" s="11" t="s">
        <v>41</v>
      </c>
      <c r="C1081" s="11" t="s">
        <v>1503</v>
      </c>
      <c r="D1081" s="10" t="s">
        <v>1504</v>
      </c>
      <c r="E1081" s="11" t="s">
        <v>16</v>
      </c>
      <c r="F1081" s="11" t="s">
        <v>1214</v>
      </c>
      <c r="G1081" s="11" t="s">
        <v>17</v>
      </c>
      <c r="H1081" s="11">
        <v>0</v>
      </c>
      <c r="I1081" s="11" t="s">
        <v>1497</v>
      </c>
      <c r="J1081" s="11">
        <v>2</v>
      </c>
      <c r="K1081" s="7" t="str">
        <f t="shared" si="16"/>
        <v>P055</v>
      </c>
      <c r="L1081" s="8"/>
      <c r="M1081" s="9" t="str">
        <f t="shared" si="17"/>
        <v>LOG1641</v>
      </c>
      <c r="N1081" s="9">
        <f t="shared" si="18"/>
        <v>7</v>
      </c>
      <c r="O1081" s="9" t="str">
        <f t="shared" si="19"/>
        <v>K/1LOG1641</v>
      </c>
    </row>
    <row r="1082" spans="1:15" ht="17.5" x14ac:dyDescent="0.55000000000000004">
      <c r="A1082" s="5" t="s">
        <v>1495</v>
      </c>
      <c r="B1082" s="6" t="s">
        <v>41</v>
      </c>
      <c r="C1082" s="6" t="s">
        <v>64</v>
      </c>
      <c r="D1082" s="5" t="s">
        <v>1505</v>
      </c>
      <c r="E1082" s="6" t="s">
        <v>16</v>
      </c>
      <c r="F1082" s="6" t="s">
        <v>172</v>
      </c>
      <c r="G1082" s="6" t="s">
        <v>17</v>
      </c>
      <c r="H1082" s="6">
        <v>0</v>
      </c>
      <c r="I1082" s="6" t="s">
        <v>1497</v>
      </c>
      <c r="J1082" s="6">
        <v>2</v>
      </c>
      <c r="K1082" s="7" t="str">
        <f t="shared" si="16"/>
        <v>P055</v>
      </c>
      <c r="L1082" s="8"/>
      <c r="M1082" s="9" t="str">
        <f t="shared" si="17"/>
        <v>LOG1613</v>
      </c>
      <c r="N1082" s="9">
        <f t="shared" si="18"/>
        <v>7</v>
      </c>
      <c r="O1082" s="9" t="str">
        <f t="shared" si="19"/>
        <v>K/1LOG1613</v>
      </c>
    </row>
    <row r="1083" spans="1:15" ht="17.5" x14ac:dyDescent="0.55000000000000004">
      <c r="A1083" s="10" t="s">
        <v>1495</v>
      </c>
      <c r="B1083" s="11" t="s">
        <v>41</v>
      </c>
      <c r="C1083" s="11" t="s">
        <v>64</v>
      </c>
      <c r="D1083" s="10" t="s">
        <v>1506</v>
      </c>
      <c r="E1083" s="11" t="s">
        <v>16</v>
      </c>
      <c r="F1083" s="11" t="s">
        <v>1486</v>
      </c>
      <c r="G1083" s="11" t="s">
        <v>17</v>
      </c>
      <c r="H1083" s="11">
        <v>0</v>
      </c>
      <c r="I1083" s="11" t="s">
        <v>1497</v>
      </c>
      <c r="J1083" s="11">
        <v>2</v>
      </c>
      <c r="K1083" s="7" t="str">
        <f t="shared" si="16"/>
        <v>P055</v>
      </c>
      <c r="L1083" s="8"/>
      <c r="M1083" s="9" t="str">
        <f t="shared" si="17"/>
        <v>LOG1642</v>
      </c>
      <c r="N1083" s="9">
        <f t="shared" si="18"/>
        <v>7</v>
      </c>
      <c r="O1083" s="9" t="str">
        <f t="shared" si="19"/>
        <v>K/1LOG1642</v>
      </c>
    </row>
    <row r="1084" spans="1:15" ht="17.5" x14ac:dyDescent="0.55000000000000004">
      <c r="A1084" s="5" t="s">
        <v>1495</v>
      </c>
      <c r="B1084" s="6" t="s">
        <v>41</v>
      </c>
      <c r="C1084" s="6" t="s">
        <v>138</v>
      </c>
      <c r="D1084" s="5" t="s">
        <v>1496</v>
      </c>
      <c r="E1084" s="6" t="s">
        <v>50</v>
      </c>
      <c r="F1084" s="6" t="s">
        <v>650</v>
      </c>
      <c r="G1084" s="6" t="s">
        <v>17</v>
      </c>
      <c r="H1084" s="6">
        <v>0</v>
      </c>
      <c r="I1084" s="6" t="s">
        <v>1497</v>
      </c>
      <c r="J1084" s="6">
        <v>2</v>
      </c>
      <c r="K1084" s="7" t="str">
        <f t="shared" si="16"/>
        <v>P055</v>
      </c>
      <c r="L1084" s="8"/>
      <c r="M1084" s="9" t="str">
        <f t="shared" si="17"/>
        <v>LOG1601</v>
      </c>
      <c r="N1084" s="9">
        <f t="shared" si="18"/>
        <v>7</v>
      </c>
      <c r="O1084" s="9" t="str">
        <f t="shared" si="19"/>
        <v>P/1LOG1601</v>
      </c>
    </row>
    <row r="1085" spans="1:15" ht="17.5" x14ac:dyDescent="0.55000000000000004">
      <c r="A1085" s="10" t="s">
        <v>1495</v>
      </c>
      <c r="B1085" s="11" t="s">
        <v>47</v>
      </c>
      <c r="C1085" s="11" t="s">
        <v>14</v>
      </c>
      <c r="D1085" s="10" t="s">
        <v>1507</v>
      </c>
      <c r="E1085" s="11" t="s">
        <v>16</v>
      </c>
      <c r="F1085" s="11" t="s">
        <v>1508</v>
      </c>
      <c r="G1085" s="11" t="s">
        <v>17</v>
      </c>
      <c r="H1085" s="11">
        <v>0</v>
      </c>
      <c r="I1085" s="11" t="s">
        <v>1497</v>
      </c>
      <c r="J1085" s="11">
        <v>2</v>
      </c>
      <c r="K1085" s="7" t="str">
        <f t="shared" si="16"/>
        <v>P055</v>
      </c>
      <c r="L1085" s="8"/>
      <c r="M1085" s="9" t="str">
        <f t="shared" si="17"/>
        <v>LOG1624</v>
      </c>
      <c r="N1085" s="9">
        <f t="shared" si="18"/>
        <v>7</v>
      </c>
      <c r="O1085" s="9" t="str">
        <f t="shared" si="19"/>
        <v>K/1LOG1624</v>
      </c>
    </row>
    <row r="1086" spans="1:15" ht="17.5" x14ac:dyDescent="0.55000000000000004">
      <c r="A1086" s="5" t="s">
        <v>1495</v>
      </c>
      <c r="B1086" s="6" t="s">
        <v>47</v>
      </c>
      <c r="C1086" s="6" t="s">
        <v>426</v>
      </c>
      <c r="D1086" s="5" t="s">
        <v>1509</v>
      </c>
      <c r="E1086" s="6" t="s">
        <v>50</v>
      </c>
      <c r="F1086" s="6" t="s">
        <v>1510</v>
      </c>
      <c r="G1086" s="6" t="s">
        <v>17</v>
      </c>
      <c r="H1086" s="6">
        <v>0</v>
      </c>
      <c r="I1086" s="6" t="s">
        <v>1497</v>
      </c>
      <c r="J1086" s="6">
        <v>2</v>
      </c>
      <c r="K1086" s="7" t="str">
        <f t="shared" si="16"/>
        <v>P055</v>
      </c>
      <c r="L1086" s="8"/>
      <c r="M1086" s="9" t="str">
        <f t="shared" si="17"/>
        <v>LOG1614</v>
      </c>
      <c r="N1086" s="9">
        <f t="shared" si="18"/>
        <v>7</v>
      </c>
      <c r="O1086" s="9" t="str">
        <f t="shared" si="19"/>
        <v>P/1LOG1614</v>
      </c>
    </row>
    <row r="1087" spans="1:15" ht="17.5" x14ac:dyDescent="0.55000000000000004">
      <c r="A1087" s="10" t="s">
        <v>1495</v>
      </c>
      <c r="B1087" s="11" t="s">
        <v>47</v>
      </c>
      <c r="C1087" s="11" t="s">
        <v>64</v>
      </c>
      <c r="D1087" s="10" t="s">
        <v>1511</v>
      </c>
      <c r="E1087" s="11" t="s">
        <v>16</v>
      </c>
      <c r="F1087" s="11" t="s">
        <v>1512</v>
      </c>
      <c r="G1087" s="11" t="s">
        <v>17</v>
      </c>
      <c r="H1087" s="11">
        <v>0</v>
      </c>
      <c r="I1087" s="11" t="s">
        <v>1497</v>
      </c>
      <c r="J1087" s="11">
        <v>2</v>
      </c>
      <c r="K1087" s="7" t="str">
        <f t="shared" si="16"/>
        <v>P055</v>
      </c>
      <c r="L1087" s="8"/>
      <c r="M1087" s="9" t="str">
        <f t="shared" si="17"/>
        <v>LOG1611</v>
      </c>
      <c r="N1087" s="9">
        <f t="shared" si="18"/>
        <v>7</v>
      </c>
      <c r="O1087" s="9" t="str">
        <f t="shared" si="19"/>
        <v>K/1LOG1611</v>
      </c>
    </row>
    <row r="1088" spans="1:15" ht="17.5" x14ac:dyDescent="0.55000000000000004">
      <c r="A1088" s="5" t="s">
        <v>1495</v>
      </c>
      <c r="B1088" s="6" t="s">
        <v>47</v>
      </c>
      <c r="C1088" s="6" t="s">
        <v>64</v>
      </c>
      <c r="D1088" s="5" t="s">
        <v>1513</v>
      </c>
      <c r="E1088" s="6" t="s">
        <v>16</v>
      </c>
      <c r="F1088" s="6" t="s">
        <v>1514</v>
      </c>
      <c r="G1088" s="6" t="s">
        <v>17</v>
      </c>
      <c r="H1088" s="6">
        <v>0</v>
      </c>
      <c r="I1088" s="6" t="s">
        <v>1497</v>
      </c>
      <c r="J1088" s="6">
        <v>1</v>
      </c>
      <c r="K1088" s="7" t="str">
        <f t="shared" si="16"/>
        <v>P055</v>
      </c>
      <c r="L1088" s="8"/>
      <c r="M1088" s="9" t="str">
        <f t="shared" si="17"/>
        <v>LOG1632</v>
      </c>
      <c r="N1088" s="9">
        <f t="shared" si="18"/>
        <v>7</v>
      </c>
      <c r="O1088" s="9" t="str">
        <f t="shared" si="19"/>
        <v>K/1LOG1632</v>
      </c>
    </row>
    <row r="1089" spans="1:15" ht="17.5" x14ac:dyDescent="0.55000000000000004">
      <c r="A1089" s="10" t="s">
        <v>1495</v>
      </c>
      <c r="B1089" s="11" t="s">
        <v>47</v>
      </c>
      <c r="C1089" s="11" t="s">
        <v>502</v>
      </c>
      <c r="D1089" s="10" t="s">
        <v>1500</v>
      </c>
      <c r="E1089" s="11" t="s">
        <v>50</v>
      </c>
      <c r="F1089" s="11" t="s">
        <v>600</v>
      </c>
      <c r="G1089" s="11" t="s">
        <v>17</v>
      </c>
      <c r="H1089" s="11">
        <v>0</v>
      </c>
      <c r="I1089" s="11" t="s">
        <v>1497</v>
      </c>
      <c r="J1089" s="11">
        <v>1</v>
      </c>
      <c r="K1089" s="7" t="str">
        <f t="shared" si="16"/>
        <v>P055</v>
      </c>
      <c r="L1089" s="8"/>
      <c r="M1089" s="9" t="str">
        <f t="shared" si="17"/>
        <v>LOG1631</v>
      </c>
      <c r="N1089" s="9">
        <f t="shared" si="18"/>
        <v>7</v>
      </c>
      <c r="O1089" s="9" t="str">
        <f t="shared" si="19"/>
        <v>P/1LOG1631</v>
      </c>
    </row>
    <row r="1090" spans="1:15" ht="17.5" x14ac:dyDescent="0.55000000000000004">
      <c r="A1090" s="5" t="s">
        <v>1495</v>
      </c>
      <c r="B1090" s="6" t="s">
        <v>52</v>
      </c>
      <c r="C1090" s="6" t="s">
        <v>14</v>
      </c>
      <c r="D1090" s="5" t="s">
        <v>1515</v>
      </c>
      <c r="E1090" s="6" t="s">
        <v>16</v>
      </c>
      <c r="F1090" s="6" t="s">
        <v>509</v>
      </c>
      <c r="G1090" s="6" t="s">
        <v>17</v>
      </c>
      <c r="H1090" s="6">
        <v>0</v>
      </c>
      <c r="I1090" s="6" t="s">
        <v>1497</v>
      </c>
      <c r="J1090" s="6">
        <v>2</v>
      </c>
      <c r="K1090" s="7" t="str">
        <f t="shared" si="16"/>
        <v>P055</v>
      </c>
      <c r="L1090" s="8"/>
      <c r="M1090" s="9" t="str">
        <f t="shared" si="17"/>
        <v>LOG1621</v>
      </c>
      <c r="N1090" s="9">
        <f t="shared" si="18"/>
        <v>7</v>
      </c>
      <c r="O1090" s="9" t="str">
        <f t="shared" si="19"/>
        <v>K/1LOG1621</v>
      </c>
    </row>
    <row r="1091" spans="1:15" ht="17.5" x14ac:dyDescent="0.55000000000000004">
      <c r="A1091" s="10" t="s">
        <v>1495</v>
      </c>
      <c r="B1091" s="11" t="s">
        <v>52</v>
      </c>
      <c r="C1091" s="11" t="s">
        <v>64</v>
      </c>
      <c r="D1091" s="10" t="s">
        <v>1516</v>
      </c>
      <c r="E1091" s="11" t="s">
        <v>16</v>
      </c>
      <c r="F1091" s="11" t="s">
        <v>523</v>
      </c>
      <c r="G1091" s="11" t="s">
        <v>17</v>
      </c>
      <c r="H1091" s="11">
        <v>0</v>
      </c>
      <c r="I1091" s="11" t="s">
        <v>1497</v>
      </c>
      <c r="J1091" s="11">
        <v>2</v>
      </c>
      <c r="K1091" s="7" t="str">
        <f t="shared" si="16"/>
        <v>P055</v>
      </c>
      <c r="L1091" s="8"/>
      <c r="M1091" s="9" t="str">
        <f t="shared" si="17"/>
        <v>LOG1625</v>
      </c>
      <c r="N1091" s="9">
        <f t="shared" si="18"/>
        <v>7</v>
      </c>
      <c r="O1091" s="9" t="str">
        <f t="shared" si="19"/>
        <v>K/1LOG1625</v>
      </c>
    </row>
    <row r="1092" spans="1:15" ht="17.5" x14ac:dyDescent="0.55000000000000004">
      <c r="A1092" s="5" t="s">
        <v>1495</v>
      </c>
      <c r="B1092" s="6" t="s">
        <v>52</v>
      </c>
      <c r="C1092" s="6" t="s">
        <v>49</v>
      </c>
      <c r="D1092" s="5" t="s">
        <v>1506</v>
      </c>
      <c r="E1092" s="6" t="s">
        <v>50</v>
      </c>
      <c r="F1092" s="6" t="s">
        <v>1486</v>
      </c>
      <c r="G1092" s="6" t="s">
        <v>17</v>
      </c>
      <c r="H1092" s="6">
        <v>0</v>
      </c>
      <c r="I1092" s="6" t="s">
        <v>1497</v>
      </c>
      <c r="J1092" s="6">
        <v>2</v>
      </c>
      <c r="K1092" s="7" t="str">
        <f t="shared" si="16"/>
        <v>P055</v>
      </c>
      <c r="L1092" s="8"/>
      <c r="M1092" s="9" t="str">
        <f t="shared" si="17"/>
        <v>LOG1642</v>
      </c>
      <c r="N1092" s="9">
        <f t="shared" si="18"/>
        <v>7</v>
      </c>
      <c r="O1092" s="9" t="str">
        <f t="shared" si="19"/>
        <v>P/1LOG1642</v>
      </c>
    </row>
    <row r="1093" spans="1:15" ht="17.5" x14ac:dyDescent="0.55000000000000004">
      <c r="A1093" s="10" t="s">
        <v>1495</v>
      </c>
      <c r="B1093" s="11" t="s">
        <v>52</v>
      </c>
      <c r="C1093" s="11" t="s">
        <v>138</v>
      </c>
      <c r="D1093" s="10" t="s">
        <v>1511</v>
      </c>
      <c r="E1093" s="11" t="s">
        <v>50</v>
      </c>
      <c r="F1093" s="11" t="s">
        <v>1512</v>
      </c>
      <c r="G1093" s="11" t="s">
        <v>17</v>
      </c>
      <c r="H1093" s="11">
        <v>0</v>
      </c>
      <c r="I1093" s="11" t="s">
        <v>1497</v>
      </c>
      <c r="J1093" s="11">
        <v>2</v>
      </c>
      <c r="K1093" s="7" t="str">
        <f t="shared" si="16"/>
        <v>P055</v>
      </c>
      <c r="L1093" s="8"/>
      <c r="M1093" s="9" t="str">
        <f t="shared" si="17"/>
        <v>LOG1611</v>
      </c>
      <c r="N1093" s="9">
        <f t="shared" si="18"/>
        <v>7</v>
      </c>
      <c r="O1093" s="9" t="str">
        <f t="shared" si="19"/>
        <v>P/1LOG1611</v>
      </c>
    </row>
    <row r="1094" spans="1:15" ht="17.5" x14ac:dyDescent="0.55000000000000004">
      <c r="A1094" s="5" t="s">
        <v>1495</v>
      </c>
      <c r="B1094" s="6" t="s">
        <v>52</v>
      </c>
      <c r="C1094" s="6" t="s">
        <v>138</v>
      </c>
      <c r="D1094" s="5" t="s">
        <v>1513</v>
      </c>
      <c r="E1094" s="6" t="s">
        <v>50</v>
      </c>
      <c r="F1094" s="6" t="s">
        <v>1514</v>
      </c>
      <c r="G1094" s="6" t="s">
        <v>17</v>
      </c>
      <c r="H1094" s="6">
        <v>0</v>
      </c>
      <c r="I1094" s="6" t="s">
        <v>1497</v>
      </c>
      <c r="J1094" s="6">
        <v>1</v>
      </c>
      <c r="K1094" s="7" t="str">
        <f t="shared" si="16"/>
        <v>P055</v>
      </c>
      <c r="L1094" s="8"/>
      <c r="M1094" s="9" t="str">
        <f t="shared" si="17"/>
        <v>LOG1632</v>
      </c>
      <c r="N1094" s="9">
        <f t="shared" si="18"/>
        <v>7</v>
      </c>
      <c r="O1094" s="9" t="str">
        <f t="shared" si="19"/>
        <v>P/1LOG1632</v>
      </c>
    </row>
    <row r="1095" spans="1:15" ht="16.5" x14ac:dyDescent="0.55000000000000004">
      <c r="A1095" s="14"/>
      <c r="B1095" s="15"/>
      <c r="C1095" s="15"/>
      <c r="D1095" s="14"/>
      <c r="E1095" s="15"/>
      <c r="F1095" s="15"/>
      <c r="G1095" s="14"/>
      <c r="H1095" s="15"/>
      <c r="I1095" s="15"/>
      <c r="J1095" s="15"/>
      <c r="K1095" s="7" t="str">
        <f t="shared" si="16"/>
        <v/>
      </c>
      <c r="L1095" s="8"/>
      <c r="M1095" s="9" t="str">
        <f t="shared" si="1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4C2F4"/>
    <outlinePr summaryBelow="0" summaryRight="0"/>
  </sheetPr>
  <dimension ref="A1:AA150"/>
  <sheetViews>
    <sheetView tabSelected="1" topLeftCell="B1" zoomScale="93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45.7265625" hidden="1" customWidth="1"/>
    <col min="2" max="2" width="6.08984375" customWidth="1"/>
    <col min="3" max="3" width="13.08984375" customWidth="1"/>
    <col min="4" max="4" width="43.36328125" customWidth="1"/>
    <col min="5" max="5" width="10.6328125" customWidth="1"/>
    <col min="6" max="6" width="15.6328125" customWidth="1"/>
    <col min="7" max="7" width="52.6328125" customWidth="1"/>
  </cols>
  <sheetData>
    <row r="1" spans="1:27" s="49" customFormat="1" ht="18.5" customHeight="1" x14ac:dyDescent="0.25">
      <c r="A1" s="2" t="s">
        <v>1517</v>
      </c>
      <c r="B1" s="50" t="s">
        <v>1518</v>
      </c>
      <c r="C1" s="50" t="s">
        <v>10</v>
      </c>
      <c r="D1" s="50" t="s">
        <v>1519</v>
      </c>
      <c r="E1" s="50" t="s">
        <v>1520</v>
      </c>
      <c r="F1" s="50" t="s">
        <v>1521</v>
      </c>
      <c r="G1" s="50" t="s">
        <v>1522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9" t="str">
        <f ca="1">IFERROR(__xludf.DUMMYFUNCTION("sort(UNIQUE(Mentah!A2:A1610))"),"A151 - Ilmu Tanah (TNH)")</f>
        <v>A151 - Ilmu Tanah (TNH)</v>
      </c>
      <c r="B2" s="44">
        <v>1</v>
      </c>
      <c r="C2" s="44" t="str">
        <f t="shared" ref="C2:C55" ca="1" si="0">LEFT(A2,4)</f>
        <v>A151</v>
      </c>
      <c r="D2" s="35" t="str">
        <f t="shared" ref="D2:D55" ca="1" si="1">MID(A2,8,LEN(A2)-13)</f>
        <v>Ilmu Tanah</v>
      </c>
      <c r="E2" s="35" t="str">
        <f t="shared" ref="E2:E55" ca="1" si="2">MID(A2,LEN(A2)-3,3)</f>
        <v>TNH</v>
      </c>
      <c r="F2" s="44" t="str">
        <f t="shared" ref="F2:F55" ca="1" si="3">LOWER(LEFT(A2,1))</f>
        <v>a</v>
      </c>
      <c r="G2" s="35" t="str">
        <f t="shared" ref="G2:G55" ca="1" si="4">CONCATENATE("('",C2,"','",D2,"','",E2,"','",F2,"'),")</f>
        <v>('A151','Ilmu Tanah','TNH','a'),</v>
      </c>
    </row>
    <row r="3" spans="1:27" ht="15.75" customHeight="1" x14ac:dyDescent="0.25">
      <c r="A3" s="9" t="str">
        <f ca="1">IFERROR(__xludf.DUMMYFUNCTION("""COMPUTED_VALUE"""),"A156 - Ilmu Perencanaan Wilayah (PWL)")</f>
        <v>A156 - Ilmu Perencanaan Wilayah (PWL)</v>
      </c>
      <c r="B3" s="44">
        <v>2</v>
      </c>
      <c r="C3" s="44" t="str">
        <f t="shared" ca="1" si="0"/>
        <v>A156</v>
      </c>
      <c r="D3" s="35" t="str">
        <f t="shared" ca="1" si="1"/>
        <v>Ilmu Perencanaan Wilayah</v>
      </c>
      <c r="E3" s="35" t="str">
        <f t="shared" ca="1" si="2"/>
        <v>PWL</v>
      </c>
      <c r="F3" s="44" t="str">
        <f t="shared" ca="1" si="3"/>
        <v>a</v>
      </c>
      <c r="G3" s="35" t="str">
        <f t="shared" ca="1" si="4"/>
        <v>('A156','Ilmu Perencanaan Wilayah','PWL','a'),</v>
      </c>
    </row>
    <row r="4" spans="1:27" ht="15.75" customHeight="1" x14ac:dyDescent="0.25">
      <c r="A4" s="9" t="str">
        <f ca="1">IFERROR(__xludf.DUMMYFUNCTION("""COMPUTED_VALUE"""),"A251 - Ilmu dan Teknologi Benih (ITB)")</f>
        <v>A251 - Ilmu dan Teknologi Benih (ITB)</v>
      </c>
      <c r="B4" s="44">
        <v>3</v>
      </c>
      <c r="C4" s="44" t="str">
        <f t="shared" ca="1" si="0"/>
        <v>A251</v>
      </c>
      <c r="D4" s="35" t="str">
        <f t="shared" ca="1" si="1"/>
        <v>Ilmu dan Teknologi Benih</v>
      </c>
      <c r="E4" s="35" t="str">
        <f t="shared" ca="1" si="2"/>
        <v>ITB</v>
      </c>
      <c r="F4" s="44" t="str">
        <f t="shared" ca="1" si="3"/>
        <v>a</v>
      </c>
      <c r="G4" s="35" t="str">
        <f t="shared" ca="1" si="4"/>
        <v>('A251','Ilmu dan Teknologi Benih','ITB','a'),</v>
      </c>
    </row>
    <row r="5" spans="1:27" ht="15.75" customHeight="1" x14ac:dyDescent="0.25">
      <c r="A5" s="9" t="str">
        <f ca="1">IFERROR(__xludf.DUMMYFUNCTION("""COMPUTED_VALUE"""),"A252 - Agronomi dan Holtikultura (AGH)")</f>
        <v>A252 - Agronomi dan Holtikultura (AGH)</v>
      </c>
      <c r="B5" s="44">
        <v>4</v>
      </c>
      <c r="C5" s="44" t="str">
        <f t="shared" ca="1" si="0"/>
        <v>A252</v>
      </c>
      <c r="D5" s="35" t="str">
        <f t="shared" ca="1" si="1"/>
        <v>Agronomi dan Holtikultura</v>
      </c>
      <c r="E5" s="35" t="str">
        <f t="shared" ca="1" si="2"/>
        <v>AGH</v>
      </c>
      <c r="F5" s="44" t="str">
        <f t="shared" ca="1" si="3"/>
        <v>a</v>
      </c>
      <c r="G5" s="35" t="str">
        <f t="shared" ca="1" si="4"/>
        <v>('A252','Agronomi dan Holtikultura','AGH','a'),</v>
      </c>
    </row>
    <row r="6" spans="1:27" ht="15.75" customHeight="1" x14ac:dyDescent="0.25">
      <c r="A6" s="9" t="str">
        <f ca="1">IFERROR(__xludf.DUMMYFUNCTION("""COMPUTED_VALUE"""),"A253 - Pemuliaan dan Bioteknologi Tanaman (PBT)")</f>
        <v>A253 - Pemuliaan dan Bioteknologi Tanaman (PBT)</v>
      </c>
      <c r="B6" s="44">
        <v>5</v>
      </c>
      <c r="C6" s="44" t="str">
        <f t="shared" ca="1" si="0"/>
        <v>A253</v>
      </c>
      <c r="D6" s="35" t="str">
        <f t="shared" ca="1" si="1"/>
        <v>Pemuliaan dan Bioteknologi Tanaman</v>
      </c>
      <c r="E6" s="35" t="str">
        <f t="shared" ca="1" si="2"/>
        <v>PBT</v>
      </c>
      <c r="F6" s="44" t="str">
        <f t="shared" ca="1" si="3"/>
        <v>a</v>
      </c>
      <c r="G6" s="35" t="str">
        <f t="shared" ca="1" si="4"/>
        <v>('A253','Pemuliaan dan Bioteknologi Tanaman','PBT','a'),</v>
      </c>
    </row>
    <row r="7" spans="1:27" ht="15.75" customHeight="1" x14ac:dyDescent="0.25">
      <c r="A7" s="9" t="str">
        <f ca="1">IFERROR(__xludf.DUMMYFUNCTION("""COMPUTED_VALUE"""),"A351 - Entomologi (ENT)")</f>
        <v>A351 - Entomologi (ENT)</v>
      </c>
      <c r="B7" s="44">
        <v>6</v>
      </c>
      <c r="C7" s="44" t="str">
        <f t="shared" ca="1" si="0"/>
        <v>A351</v>
      </c>
      <c r="D7" s="35" t="str">
        <f t="shared" ca="1" si="1"/>
        <v>Entomologi</v>
      </c>
      <c r="E7" s="35" t="str">
        <f t="shared" ca="1" si="2"/>
        <v>ENT</v>
      </c>
      <c r="F7" s="44" t="str">
        <f t="shared" ca="1" si="3"/>
        <v>a</v>
      </c>
      <c r="G7" s="35" t="str">
        <f t="shared" ca="1" si="4"/>
        <v>('A351','Entomologi','ENT','a'),</v>
      </c>
    </row>
    <row r="8" spans="1:27" ht="15.75" customHeight="1" x14ac:dyDescent="0.25">
      <c r="A8" s="9" t="str">
        <f ca="1">IFERROR(__xludf.DUMMYFUNCTION("""COMPUTED_VALUE"""),"A353 - Pengendalian Hama Terpadu (PHT)")</f>
        <v>A353 - Pengendalian Hama Terpadu (PHT)</v>
      </c>
      <c r="B8" s="44">
        <v>7</v>
      </c>
      <c r="C8" s="44" t="str">
        <f t="shared" ca="1" si="0"/>
        <v>A353</v>
      </c>
      <c r="D8" s="35" t="str">
        <f t="shared" ca="1" si="1"/>
        <v>Pengendalian Hama Terpadu</v>
      </c>
      <c r="E8" s="35" t="str">
        <f t="shared" ca="1" si="2"/>
        <v>PHT</v>
      </c>
      <c r="F8" s="44" t="str">
        <f t="shared" ca="1" si="3"/>
        <v>a</v>
      </c>
      <c r="G8" s="35" t="str">
        <f t="shared" ca="1" si="4"/>
        <v>('A353','Pengendalian Hama Terpadu','PHT','a'),</v>
      </c>
    </row>
    <row r="9" spans="1:27" ht="15.75" customHeight="1" x14ac:dyDescent="0.25">
      <c r="A9" s="9" t="str">
        <f ca="1">IFERROR(__xludf.DUMMYFUNCTION("""COMPUTED_VALUE"""),"A451 - Arsitektur Lanskap (ARL)")</f>
        <v>A451 - Arsitektur Lanskap (ARL)</v>
      </c>
      <c r="B9" s="44">
        <v>8</v>
      </c>
      <c r="C9" s="44" t="str">
        <f t="shared" ca="1" si="0"/>
        <v>A451</v>
      </c>
      <c r="D9" s="35" t="str">
        <f t="shared" ca="1" si="1"/>
        <v>Arsitektur Lanskap</v>
      </c>
      <c r="E9" s="35" t="str">
        <f t="shared" ca="1" si="2"/>
        <v>ARL</v>
      </c>
      <c r="F9" s="44" t="str">
        <f t="shared" ca="1" si="3"/>
        <v>a</v>
      </c>
      <c r="G9" s="35" t="str">
        <f t="shared" ca="1" si="4"/>
        <v>('A451','Arsitektur Lanskap','ARL','a'),</v>
      </c>
    </row>
    <row r="10" spans="1:27" ht="15.75" customHeight="1" x14ac:dyDescent="0.25">
      <c r="A10" s="9" t="str">
        <f ca="1">IFERROR(__xludf.DUMMYFUNCTION("""COMPUTED_VALUE"""),"B351 - Ilmu Biomedis Hewan (IBH)")</f>
        <v>B351 - Ilmu Biomedis Hewan (IBH)</v>
      </c>
      <c r="B10" s="44">
        <v>9</v>
      </c>
      <c r="C10" s="44" t="str">
        <f t="shared" ca="1" si="0"/>
        <v>B351</v>
      </c>
      <c r="D10" s="35" t="str">
        <f t="shared" ca="1" si="1"/>
        <v>Ilmu Biomedis Hewan</v>
      </c>
      <c r="E10" s="35" t="str">
        <f t="shared" ca="1" si="2"/>
        <v>IBH</v>
      </c>
      <c r="F10" s="44" t="str">
        <f t="shared" ca="1" si="3"/>
        <v>b</v>
      </c>
      <c r="G10" s="35" t="str">
        <f t="shared" ca="1" si="4"/>
        <v>('B351','Ilmu Biomedis Hewan','IBH','b'),</v>
      </c>
    </row>
    <row r="11" spans="1:27" ht="15.75" customHeight="1" x14ac:dyDescent="0.25">
      <c r="A11" s="9" t="str">
        <f ca="1">IFERROR(__xludf.DUMMYFUNCTION("""COMPUTED_VALUE"""),"C151 - Ilmu Akuakultur (AKU)")</f>
        <v>C151 - Ilmu Akuakultur (AKU)</v>
      </c>
      <c r="B11" s="44">
        <v>10</v>
      </c>
      <c r="C11" s="44" t="str">
        <f t="shared" ca="1" si="0"/>
        <v>C151</v>
      </c>
      <c r="D11" s="35" t="str">
        <f t="shared" ca="1" si="1"/>
        <v>Ilmu Akuakultur</v>
      </c>
      <c r="E11" s="35" t="str">
        <f t="shared" ca="1" si="2"/>
        <v>AKU</v>
      </c>
      <c r="F11" s="44" t="str">
        <f t="shared" ca="1" si="3"/>
        <v>c</v>
      </c>
      <c r="G11" s="35" t="str">
        <f t="shared" ca="1" si="4"/>
        <v>('C151','Ilmu Akuakultur','AKU','c'),</v>
      </c>
    </row>
    <row r="12" spans="1:27" ht="15.75" customHeight="1" x14ac:dyDescent="0.25">
      <c r="A12" s="9" t="str">
        <f ca="1">IFERROR(__xludf.DUMMYFUNCTION("""COMPUTED_VALUE"""),"C251 - Pengelolaan Sumber Daya Perairan (SDP)")</f>
        <v>C251 - Pengelolaan Sumber Daya Perairan (SDP)</v>
      </c>
      <c r="B12" s="44">
        <v>11</v>
      </c>
      <c r="C12" s="44" t="str">
        <f t="shared" ca="1" si="0"/>
        <v>C251</v>
      </c>
      <c r="D12" s="35" t="str">
        <f t="shared" ca="1" si="1"/>
        <v>Pengelolaan Sumber Daya Perairan</v>
      </c>
      <c r="E12" s="35" t="str">
        <f t="shared" ca="1" si="2"/>
        <v>SDP</v>
      </c>
      <c r="F12" s="44" t="str">
        <f t="shared" ca="1" si="3"/>
        <v>c</v>
      </c>
      <c r="G12" s="35" t="str">
        <f t="shared" ca="1" si="4"/>
        <v>('C251','Pengelolaan Sumber Daya Perairan','SDP','c'),</v>
      </c>
    </row>
    <row r="13" spans="1:27" ht="15.75" customHeight="1" x14ac:dyDescent="0.25">
      <c r="A13" s="9" t="str">
        <f ca="1">IFERROR(__xludf.DUMMYFUNCTION("""COMPUTED_VALUE"""),"C252 - Pengelolaan Sumberdaya Pesisir dan Lautan (SPL)")</f>
        <v>C252 - Pengelolaan Sumberdaya Pesisir dan Lautan (SPL)</v>
      </c>
      <c r="B13" s="44">
        <v>12</v>
      </c>
      <c r="C13" s="44" t="str">
        <f t="shared" ca="1" si="0"/>
        <v>C252</v>
      </c>
      <c r="D13" s="35" t="str">
        <f t="shared" ca="1" si="1"/>
        <v>Pengelolaan Sumberdaya Pesisir dan Lautan</v>
      </c>
      <c r="E13" s="35" t="str">
        <f t="shared" ca="1" si="2"/>
        <v>SPL</v>
      </c>
      <c r="F13" s="44" t="str">
        <f t="shared" ca="1" si="3"/>
        <v>c</v>
      </c>
      <c r="G13" s="35" t="str">
        <f t="shared" ca="1" si="4"/>
        <v>('C252','Pengelolaan Sumberdaya Pesisir dan Lautan','SPL','c'),</v>
      </c>
    </row>
    <row r="14" spans="1:27" ht="15.75" customHeight="1" x14ac:dyDescent="0.25">
      <c r="A14" s="9" t="str">
        <f ca="1">IFERROR(__xludf.DUMMYFUNCTION("""COMPUTED_VALUE"""),"C351 - Teknologi Hasil Perairan (THP)")</f>
        <v>C351 - Teknologi Hasil Perairan (THP)</v>
      </c>
      <c r="B14" s="44">
        <v>13</v>
      </c>
      <c r="C14" s="44" t="str">
        <f t="shared" ca="1" si="0"/>
        <v>C351</v>
      </c>
      <c r="D14" s="35" t="str">
        <f t="shared" ca="1" si="1"/>
        <v>Teknologi Hasil Perairan</v>
      </c>
      <c r="E14" s="35" t="str">
        <f t="shared" ca="1" si="2"/>
        <v>THP</v>
      </c>
      <c r="F14" s="44" t="str">
        <f t="shared" ca="1" si="3"/>
        <v>c</v>
      </c>
      <c r="G14" s="35" t="str">
        <f t="shared" ca="1" si="4"/>
        <v>('C351','Teknologi Hasil Perairan','THP','c'),</v>
      </c>
    </row>
    <row r="15" spans="1:27" ht="15.75" customHeight="1" x14ac:dyDescent="0.25">
      <c r="A15" s="9" t="str">
        <f ca="1">IFERROR(__xludf.DUMMYFUNCTION("""COMPUTED_VALUE"""),"C453 - Teknologi Perikanan Laut (TPL)")</f>
        <v>C453 - Teknologi Perikanan Laut (TPL)</v>
      </c>
      <c r="B15" s="44">
        <v>14</v>
      </c>
      <c r="C15" s="44" t="str">
        <f t="shared" ca="1" si="0"/>
        <v>C453</v>
      </c>
      <c r="D15" s="35" t="str">
        <f t="shared" ca="1" si="1"/>
        <v>Teknologi Perikanan Laut</v>
      </c>
      <c r="E15" s="35" t="str">
        <f t="shared" ca="1" si="2"/>
        <v>TPL</v>
      </c>
      <c r="F15" s="44" t="str">
        <f t="shared" ca="1" si="3"/>
        <v>c</v>
      </c>
      <c r="G15" s="35" t="str">
        <f t="shared" ca="1" si="4"/>
        <v>('C453','Teknologi Perikanan Laut','TPL','c'),</v>
      </c>
    </row>
    <row r="16" spans="1:27" ht="15.75" customHeight="1" x14ac:dyDescent="0.25">
      <c r="A16" s="9" t="str">
        <f ca="1">IFERROR(__xludf.DUMMYFUNCTION("""COMPUTED_VALUE"""),"C551 - Ilmu Kelautan (IKL)")</f>
        <v>C551 - Ilmu Kelautan (IKL)</v>
      </c>
      <c r="B16" s="44">
        <v>15</v>
      </c>
      <c r="C16" s="44" t="str">
        <f t="shared" ca="1" si="0"/>
        <v>C551</v>
      </c>
      <c r="D16" s="35" t="str">
        <f t="shared" ca="1" si="1"/>
        <v>Ilmu Kelautan</v>
      </c>
      <c r="E16" s="35" t="str">
        <f t="shared" ca="1" si="2"/>
        <v>IKL</v>
      </c>
      <c r="F16" s="44" t="str">
        <f t="shared" ca="1" si="3"/>
        <v>c</v>
      </c>
      <c r="G16" s="35" t="str">
        <f t="shared" ca="1" si="4"/>
        <v>('C551','Ilmu Kelautan','IKL','c'),</v>
      </c>
    </row>
    <row r="17" spans="1:7" ht="15.75" customHeight="1" x14ac:dyDescent="0.25">
      <c r="A17" s="9" t="str">
        <f ca="1">IFERROR(__xludf.DUMMYFUNCTION("""COMPUTED_VALUE"""),"C552 - Teknologi Kelautan (TEK)")</f>
        <v>C552 - Teknologi Kelautan (TEK)</v>
      </c>
      <c r="B17" s="44">
        <v>16</v>
      </c>
      <c r="C17" s="44" t="str">
        <f t="shared" ca="1" si="0"/>
        <v>C552</v>
      </c>
      <c r="D17" s="35" t="str">
        <f t="shared" ca="1" si="1"/>
        <v>Teknologi Kelautan</v>
      </c>
      <c r="E17" s="35" t="str">
        <f t="shared" ca="1" si="2"/>
        <v>TEK</v>
      </c>
      <c r="F17" s="44" t="str">
        <f t="shared" ca="1" si="3"/>
        <v>c</v>
      </c>
      <c r="G17" s="35" t="str">
        <f t="shared" ca="1" si="4"/>
        <v>('C552','Teknologi Kelautan','TEK','c'),</v>
      </c>
    </row>
    <row r="18" spans="1:7" ht="15.75" customHeight="1" x14ac:dyDescent="0.25">
      <c r="A18" s="9" t="str">
        <f ca="1">IFERROR(__xludf.DUMMYFUNCTION("""COMPUTED_VALUE"""),"D151 - Ilmu Produksi dan Teknologi Peternakan (ITP)")</f>
        <v>D151 - Ilmu Produksi dan Teknologi Peternakan (ITP)</v>
      </c>
      <c r="B18" s="44">
        <v>17</v>
      </c>
      <c r="C18" s="44" t="str">
        <f t="shared" ca="1" si="0"/>
        <v>D151</v>
      </c>
      <c r="D18" s="35" t="str">
        <f t="shared" ca="1" si="1"/>
        <v>Ilmu Produksi dan Teknologi Peternakan</v>
      </c>
      <c r="E18" s="35" t="str">
        <f t="shared" ca="1" si="2"/>
        <v>ITP</v>
      </c>
      <c r="F18" s="44" t="str">
        <f t="shared" ca="1" si="3"/>
        <v>d</v>
      </c>
      <c r="G18" s="35" t="str">
        <f t="shared" ca="1" si="4"/>
        <v>('D151','Ilmu Produksi dan Teknologi Peternakan','ITP','d'),</v>
      </c>
    </row>
    <row r="19" spans="1:7" ht="15.75" customHeight="1" x14ac:dyDescent="0.25">
      <c r="A19" s="9" t="str">
        <f ca="1">IFERROR(__xludf.DUMMYFUNCTION("""COMPUTED_VALUE"""),"D251 - Ilmu Nutrisi dan Pakan (INP)")</f>
        <v>D251 - Ilmu Nutrisi dan Pakan (INP)</v>
      </c>
      <c r="B19" s="44">
        <v>18</v>
      </c>
      <c r="C19" s="44" t="str">
        <f t="shared" ca="1" si="0"/>
        <v>D251</v>
      </c>
      <c r="D19" s="35" t="str">
        <f t="shared" ca="1" si="1"/>
        <v>Ilmu Nutrisi dan Pakan</v>
      </c>
      <c r="E19" s="35" t="str">
        <f t="shared" ca="1" si="2"/>
        <v>INP</v>
      </c>
      <c r="F19" s="44" t="str">
        <f t="shared" ca="1" si="3"/>
        <v>d</v>
      </c>
      <c r="G19" s="35" t="str">
        <f t="shared" ca="1" si="4"/>
        <v>('D251','Ilmu Nutrisi dan Pakan','INP','d'),</v>
      </c>
    </row>
    <row r="20" spans="1:7" ht="15.75" customHeight="1" x14ac:dyDescent="0.25">
      <c r="A20" s="9" t="str">
        <f ca="1">IFERROR(__xludf.DUMMYFUNCTION("""COMPUTED_VALUE"""),"E251 - Ilmu dan Teknologi Hasil Hutan (THH)")</f>
        <v>E251 - Ilmu dan Teknologi Hasil Hutan (THH)</v>
      </c>
      <c r="B20" s="44">
        <v>19</v>
      </c>
      <c r="C20" s="44" t="str">
        <f t="shared" ca="1" si="0"/>
        <v>E251</v>
      </c>
      <c r="D20" s="35" t="str">
        <f t="shared" ca="1" si="1"/>
        <v>Ilmu dan Teknologi Hasil Hutan</v>
      </c>
      <c r="E20" s="35" t="str">
        <f t="shared" ca="1" si="2"/>
        <v>THH</v>
      </c>
      <c r="F20" s="44" t="str">
        <f t="shared" ca="1" si="3"/>
        <v>e</v>
      </c>
      <c r="G20" s="35" t="str">
        <f t="shared" ca="1" si="4"/>
        <v>('E251','Ilmu dan Teknologi Hasil Hutan','THH','e'),</v>
      </c>
    </row>
    <row r="21" spans="1:7" ht="15.75" customHeight="1" x14ac:dyDescent="0.25">
      <c r="A21" s="9" t="str">
        <f ca="1">IFERROR(__xludf.DUMMYFUNCTION("""COMPUTED_VALUE"""),"E351 - Konservasi Biodiversitas Tropika (KVT)")</f>
        <v>E351 - Konservasi Biodiversitas Tropika (KVT)</v>
      </c>
      <c r="B21" s="44">
        <v>20</v>
      </c>
      <c r="C21" s="44" t="str">
        <f t="shared" ca="1" si="0"/>
        <v>E351</v>
      </c>
      <c r="D21" s="35" t="str">
        <f t="shared" ca="1" si="1"/>
        <v>Konservasi Biodiversitas Tropika</v>
      </c>
      <c r="E21" s="35" t="str">
        <f t="shared" ca="1" si="2"/>
        <v>KVT</v>
      </c>
      <c r="F21" s="44" t="str">
        <f t="shared" ca="1" si="3"/>
        <v>e</v>
      </c>
      <c r="G21" s="35" t="str">
        <f t="shared" ca="1" si="4"/>
        <v>('E351','Konservasi Biodiversitas Tropika','KVT','e'),</v>
      </c>
    </row>
    <row r="22" spans="1:7" ht="12.5" x14ac:dyDescent="0.25">
      <c r="A22" s="9" t="str">
        <f ca="1">IFERROR(__xludf.DUMMYFUNCTION("""COMPUTED_VALUE"""),"E451 - Silvikultur Tropika (SVK)")</f>
        <v>E451 - Silvikultur Tropika (SVK)</v>
      </c>
      <c r="B22" s="44">
        <v>21</v>
      </c>
      <c r="C22" s="44" t="str">
        <f t="shared" ca="1" si="0"/>
        <v>E451</v>
      </c>
      <c r="D22" s="35" t="str">
        <f t="shared" ca="1" si="1"/>
        <v>Silvikultur Tropika</v>
      </c>
      <c r="E22" s="35" t="str">
        <f t="shared" ca="1" si="2"/>
        <v>SVK</v>
      </c>
      <c r="F22" s="44" t="str">
        <f t="shared" ca="1" si="3"/>
        <v>e</v>
      </c>
      <c r="G22" s="35" t="str">
        <f t="shared" ca="1" si="4"/>
        <v>('E451','Silvikultur Tropika','SVK','e'),</v>
      </c>
    </row>
    <row r="23" spans="1:7" ht="12.5" x14ac:dyDescent="0.25">
      <c r="A23" s="9" t="str">
        <f ca="1">IFERROR(__xludf.DUMMYFUNCTION("""COMPUTED_VALUE"""),"F151 - Teknik Pertanian dan Biosistem (TPB)")</f>
        <v>F151 - Teknik Pertanian dan Biosistem (TPB)</v>
      </c>
      <c r="B23" s="44">
        <v>22</v>
      </c>
      <c r="C23" s="44" t="str">
        <f t="shared" ca="1" si="0"/>
        <v>F151</v>
      </c>
      <c r="D23" s="35" t="str">
        <f t="shared" ca="1" si="1"/>
        <v>Teknik Pertanian dan Biosistem</v>
      </c>
      <c r="E23" s="35" t="str">
        <f t="shared" ca="1" si="2"/>
        <v>TPB</v>
      </c>
      <c r="F23" s="44" t="str">
        <f t="shared" ca="1" si="3"/>
        <v>f</v>
      </c>
      <c r="G23" s="35" t="str">
        <f t="shared" ca="1" si="4"/>
        <v>('F151','Teknik Pertanian dan Biosistem','TPB','f'),</v>
      </c>
    </row>
    <row r="24" spans="1:7" ht="12.5" x14ac:dyDescent="0.25">
      <c r="A24" s="9" t="str">
        <f ca="1">IFERROR(__xludf.DUMMYFUNCTION("""COMPUTED_VALUE"""),"F152 - Teknologi Pascapanen (TPP)")</f>
        <v>F152 - Teknologi Pascapanen (TPP)</v>
      </c>
      <c r="B24" s="44">
        <v>23</v>
      </c>
      <c r="C24" s="44" t="str">
        <f t="shared" ca="1" si="0"/>
        <v>F152</v>
      </c>
      <c r="D24" s="35" t="str">
        <f t="shared" ca="1" si="1"/>
        <v>Teknologi Pascapanen</v>
      </c>
      <c r="E24" s="35" t="str">
        <f t="shared" ca="1" si="2"/>
        <v>TPP</v>
      </c>
      <c r="F24" s="44" t="str">
        <f t="shared" ca="1" si="3"/>
        <v>f</v>
      </c>
      <c r="G24" s="35" t="str">
        <f t="shared" ca="1" si="4"/>
        <v>('F152','Teknologi Pascapanen','TPP','f'),</v>
      </c>
    </row>
    <row r="25" spans="1:7" ht="12.5" x14ac:dyDescent="0.25">
      <c r="A25" s="9" t="str">
        <f ca="1">IFERROR(__xludf.DUMMYFUNCTION("""COMPUTED_VALUE"""),"F251 - Ilmu Pangan (IPN)")</f>
        <v>F251 - Ilmu Pangan (IPN)</v>
      </c>
      <c r="B25" s="44">
        <v>24</v>
      </c>
      <c r="C25" s="44" t="str">
        <f t="shared" ca="1" si="0"/>
        <v>F251</v>
      </c>
      <c r="D25" s="35" t="str">
        <f t="shared" ca="1" si="1"/>
        <v>Ilmu Pangan</v>
      </c>
      <c r="E25" s="35" t="str">
        <f t="shared" ca="1" si="2"/>
        <v>IPN</v>
      </c>
      <c r="F25" s="44" t="str">
        <f t="shared" ca="1" si="3"/>
        <v>f</v>
      </c>
      <c r="G25" s="35" t="str">
        <f t="shared" ca="1" si="4"/>
        <v>('F251','Ilmu Pangan','IPN','f'),</v>
      </c>
    </row>
    <row r="26" spans="1:7" ht="12.5" x14ac:dyDescent="0.25">
      <c r="A26" s="9" t="str">
        <f ca="1">IFERROR(__xludf.DUMMYFUNCTION("""COMPUTED_VALUE"""),"F252 - Teknologi Pangan (TPN)")</f>
        <v>F252 - Teknologi Pangan (TPN)</v>
      </c>
      <c r="B26" s="44">
        <v>25</v>
      </c>
      <c r="C26" s="44" t="str">
        <f t="shared" ca="1" si="0"/>
        <v>F252</v>
      </c>
      <c r="D26" s="35" t="str">
        <f t="shared" ca="1" si="1"/>
        <v>Teknologi Pangan</v>
      </c>
      <c r="E26" s="35" t="str">
        <f t="shared" ca="1" si="2"/>
        <v>TPN</v>
      </c>
      <c r="F26" s="44" t="str">
        <f t="shared" ca="1" si="3"/>
        <v>f</v>
      </c>
      <c r="G26" s="35" t="str">
        <f t="shared" ca="1" si="4"/>
        <v>('F252','Teknologi Pangan','TPN','f'),</v>
      </c>
    </row>
    <row r="27" spans="1:7" ht="12.5" x14ac:dyDescent="0.25">
      <c r="A27" s="9" t="str">
        <f ca="1">IFERROR(__xludf.DUMMYFUNCTION("""COMPUTED_VALUE"""),"F351 - Teknik Industri Pertanian (TIP)")</f>
        <v>F351 - Teknik Industri Pertanian (TIP)</v>
      </c>
      <c r="B27" s="44">
        <v>26</v>
      </c>
      <c r="C27" s="44" t="str">
        <f t="shared" ca="1" si="0"/>
        <v>F351</v>
      </c>
      <c r="D27" s="35" t="str">
        <f t="shared" ca="1" si="1"/>
        <v>Teknik Industri Pertanian</v>
      </c>
      <c r="E27" s="35" t="str">
        <f t="shared" ca="1" si="2"/>
        <v>TIP</v>
      </c>
      <c r="F27" s="44" t="str">
        <f t="shared" ca="1" si="3"/>
        <v>f</v>
      </c>
      <c r="G27" s="35" t="str">
        <f t="shared" ca="1" si="4"/>
        <v>('F351','Teknik Industri Pertanian','TIP','f'),</v>
      </c>
    </row>
    <row r="28" spans="1:7" ht="12.5" x14ac:dyDescent="0.25">
      <c r="A28" s="9" t="str">
        <f ca="1">IFERROR(__xludf.DUMMYFUNCTION("""COMPUTED_VALUE"""),"F451 - Teknik Sipil dan Lingkungan (SIL)")</f>
        <v>F451 - Teknik Sipil dan Lingkungan (SIL)</v>
      </c>
      <c r="B28" s="44">
        <v>27</v>
      </c>
      <c r="C28" s="44" t="str">
        <f t="shared" ca="1" si="0"/>
        <v>F451</v>
      </c>
      <c r="D28" s="35" t="str">
        <f t="shared" ca="1" si="1"/>
        <v>Teknik Sipil dan Lingkungan</v>
      </c>
      <c r="E28" s="35" t="str">
        <f t="shared" ca="1" si="2"/>
        <v>SIL</v>
      </c>
      <c r="F28" s="44" t="str">
        <f t="shared" ca="1" si="3"/>
        <v>f</v>
      </c>
      <c r="G28" s="35" t="str">
        <f t="shared" ca="1" si="4"/>
        <v>('F451','Teknik Sipil dan Lingkungan','SIL','f'),</v>
      </c>
    </row>
    <row r="29" spans="1:7" ht="12.5" x14ac:dyDescent="0.25">
      <c r="A29" s="9" t="str">
        <f ca="1">IFERROR(__xludf.DUMMYFUNCTION("""COMPUTED_VALUE"""),"G151 - Statistika dan Sains Data (STA)")</f>
        <v>G151 - Statistika dan Sains Data (STA)</v>
      </c>
      <c r="B29" s="44">
        <v>28</v>
      </c>
      <c r="C29" s="44" t="str">
        <f t="shared" ca="1" si="0"/>
        <v>G151</v>
      </c>
      <c r="D29" s="35" t="str">
        <f t="shared" ca="1" si="1"/>
        <v>Statistika dan Sains Data</v>
      </c>
      <c r="E29" s="35" t="str">
        <f t="shared" ca="1" si="2"/>
        <v>STA</v>
      </c>
      <c r="F29" s="44" t="str">
        <f t="shared" ca="1" si="3"/>
        <v>g</v>
      </c>
      <c r="G29" s="35" t="str">
        <f t="shared" ca="1" si="4"/>
        <v>('G151','Statistika dan Sains Data','STA','g'),</v>
      </c>
    </row>
    <row r="30" spans="1:7" ht="12.5" x14ac:dyDescent="0.25">
      <c r="A30" s="9" t="str">
        <f ca="1">IFERROR(__xludf.DUMMYFUNCTION("""COMPUTED_VALUE"""),"G251 - Klimatologi Terapan (KLI)")</f>
        <v>G251 - Klimatologi Terapan (KLI)</v>
      </c>
      <c r="B30" s="44">
        <v>29</v>
      </c>
      <c r="C30" s="44" t="str">
        <f t="shared" ca="1" si="0"/>
        <v>G251</v>
      </c>
      <c r="D30" s="35" t="str">
        <f t="shared" ca="1" si="1"/>
        <v>Klimatologi Terapan</v>
      </c>
      <c r="E30" s="35" t="str">
        <f t="shared" ca="1" si="2"/>
        <v>KLI</v>
      </c>
      <c r="F30" s="44" t="str">
        <f t="shared" ca="1" si="3"/>
        <v>g</v>
      </c>
      <c r="G30" s="35" t="str">
        <f t="shared" ca="1" si="4"/>
        <v>('G251','Klimatologi Terapan','KLI','g'),</v>
      </c>
    </row>
    <row r="31" spans="1:7" ht="12.5" x14ac:dyDescent="0.25">
      <c r="A31" s="9" t="str">
        <f ca="1">IFERROR(__xludf.DUMMYFUNCTION("""COMPUTED_VALUE"""),"G351 - Mikrobiologi (MIK)")</f>
        <v>G351 - Mikrobiologi (MIK)</v>
      </c>
      <c r="B31" s="44">
        <v>30</v>
      </c>
      <c r="C31" s="44" t="str">
        <f t="shared" ca="1" si="0"/>
        <v>G351</v>
      </c>
      <c r="D31" s="35" t="str">
        <f t="shared" ca="1" si="1"/>
        <v>Mikrobiologi</v>
      </c>
      <c r="E31" s="35" t="str">
        <f t="shared" ca="1" si="2"/>
        <v>MIK</v>
      </c>
      <c r="F31" s="44" t="str">
        <f t="shared" ca="1" si="3"/>
        <v>g</v>
      </c>
      <c r="G31" s="35" t="str">
        <f t="shared" ca="1" si="4"/>
        <v>('G351','Mikrobiologi','MIK','g'),</v>
      </c>
    </row>
    <row r="32" spans="1:7" ht="12.5" x14ac:dyDescent="0.25">
      <c r="A32" s="9" t="str">
        <f ca="1">IFERROR(__xludf.DUMMYFUNCTION("""COMPUTED_VALUE"""),"G352 - Biosains Hewan (BSH)")</f>
        <v>G352 - Biosains Hewan (BSH)</v>
      </c>
      <c r="B32" s="44">
        <v>31</v>
      </c>
      <c r="C32" s="44" t="str">
        <f t="shared" ca="1" si="0"/>
        <v>G352</v>
      </c>
      <c r="D32" s="35" t="str">
        <f t="shared" ca="1" si="1"/>
        <v>Biosains Hewan</v>
      </c>
      <c r="E32" s="35" t="str">
        <f t="shared" ca="1" si="2"/>
        <v>BSH</v>
      </c>
      <c r="F32" s="44" t="str">
        <f t="shared" ca="1" si="3"/>
        <v>g</v>
      </c>
      <c r="G32" s="35" t="str">
        <f t="shared" ca="1" si="4"/>
        <v>('G352','Biosains Hewan','BSH','g'),</v>
      </c>
    </row>
    <row r="33" spans="1:7" ht="12.5" x14ac:dyDescent="0.25">
      <c r="A33" s="9" t="str">
        <f ca="1">IFERROR(__xludf.DUMMYFUNCTION("""COMPUTED_VALUE"""),"G353 - Biologi Tumbuhan (BOT)")</f>
        <v>G353 - Biologi Tumbuhan (BOT)</v>
      </c>
      <c r="B33" s="44">
        <v>32</v>
      </c>
      <c r="C33" s="44" t="str">
        <f t="shared" ca="1" si="0"/>
        <v>G353</v>
      </c>
      <c r="D33" s="35" t="str">
        <f t="shared" ca="1" si="1"/>
        <v>Biologi Tumbuhan</v>
      </c>
      <c r="E33" s="35" t="str">
        <f t="shared" ca="1" si="2"/>
        <v>BOT</v>
      </c>
      <c r="F33" s="44" t="str">
        <f t="shared" ca="1" si="3"/>
        <v>g</v>
      </c>
      <c r="G33" s="35" t="str">
        <f t="shared" ca="1" si="4"/>
        <v>('G353','Biologi Tumbuhan','BOT','g'),</v>
      </c>
    </row>
    <row r="34" spans="1:7" ht="12.5" x14ac:dyDescent="0.25">
      <c r="A34" s="9" t="str">
        <f ca="1">IFERROR(__xludf.DUMMYFUNCTION("""COMPUTED_VALUE"""),"G451 - Kimia (KIM)")</f>
        <v>G451 - Kimia (KIM)</v>
      </c>
      <c r="B34" s="44">
        <v>33</v>
      </c>
      <c r="C34" s="44" t="str">
        <f t="shared" ca="1" si="0"/>
        <v>G451</v>
      </c>
      <c r="D34" s="35" t="str">
        <f t="shared" ca="1" si="1"/>
        <v>Kimia</v>
      </c>
      <c r="E34" s="35" t="str">
        <f t="shared" ca="1" si="2"/>
        <v>KIM</v>
      </c>
      <c r="F34" s="44" t="str">
        <f t="shared" ca="1" si="3"/>
        <v>g</v>
      </c>
      <c r="G34" s="35" t="str">
        <f t="shared" ca="1" si="4"/>
        <v>('G451','Kimia','KIM','g'),</v>
      </c>
    </row>
    <row r="35" spans="1:7" ht="12.5" x14ac:dyDescent="0.25">
      <c r="A35" s="9" t="str">
        <f ca="1">IFERROR(__xludf.DUMMYFUNCTION("""COMPUTED_VALUE"""),"G551 - Matematika Terapan (MAT)")</f>
        <v>G551 - Matematika Terapan (MAT)</v>
      </c>
      <c r="B35" s="44">
        <v>34</v>
      </c>
      <c r="C35" s="44" t="str">
        <f t="shared" ca="1" si="0"/>
        <v>G551</v>
      </c>
      <c r="D35" s="35" t="str">
        <f t="shared" ca="1" si="1"/>
        <v>Matematika Terapan</v>
      </c>
      <c r="E35" s="35" t="str">
        <f t="shared" ca="1" si="2"/>
        <v>MAT</v>
      </c>
      <c r="F35" s="44" t="str">
        <f t="shared" ca="1" si="3"/>
        <v>g</v>
      </c>
      <c r="G35" s="35" t="str">
        <f t="shared" ca="1" si="4"/>
        <v>('G551','Matematika Terapan','MAT','g'),</v>
      </c>
    </row>
    <row r="36" spans="1:7" ht="12.5" x14ac:dyDescent="0.25">
      <c r="A36" s="9" t="str">
        <f ca="1">IFERROR(__xludf.DUMMYFUNCTION("""COMPUTED_VALUE"""),"G651 - Ilmu Komputer (KOM)")</f>
        <v>G651 - Ilmu Komputer (KOM)</v>
      </c>
      <c r="B36" s="44">
        <v>35</v>
      </c>
      <c r="C36" s="44" t="str">
        <f t="shared" ca="1" si="0"/>
        <v>G651</v>
      </c>
      <c r="D36" s="35" t="str">
        <f t="shared" ca="1" si="1"/>
        <v>Ilmu Komputer</v>
      </c>
      <c r="E36" s="35" t="str">
        <f t="shared" ca="1" si="2"/>
        <v>KOM</v>
      </c>
      <c r="F36" s="44" t="str">
        <f t="shared" ca="1" si="3"/>
        <v>g</v>
      </c>
      <c r="G36" s="35" t="str">
        <f t="shared" ca="1" si="4"/>
        <v>('G651','Ilmu Komputer','KOM','g'),</v>
      </c>
    </row>
    <row r="37" spans="1:7" ht="12.5" x14ac:dyDescent="0.25">
      <c r="A37" s="9" t="str">
        <f ca="1">IFERROR(__xludf.DUMMYFUNCTION("""COMPUTED_VALUE"""),"G751 - Biofisika (BFS)")</f>
        <v>G751 - Biofisika (BFS)</v>
      </c>
      <c r="B37" s="44">
        <v>36</v>
      </c>
      <c r="C37" s="44" t="str">
        <f t="shared" ca="1" si="0"/>
        <v>G751</v>
      </c>
      <c r="D37" s="35" t="str">
        <f t="shared" ca="1" si="1"/>
        <v>Biofisika</v>
      </c>
      <c r="E37" s="35" t="str">
        <f t="shared" ca="1" si="2"/>
        <v>BFS</v>
      </c>
      <c r="F37" s="44" t="str">
        <f t="shared" ca="1" si="3"/>
        <v>g</v>
      </c>
      <c r="G37" s="35" t="str">
        <f t="shared" ca="1" si="4"/>
        <v>('G751','Biofisika','BFS','g'),</v>
      </c>
    </row>
    <row r="38" spans="1:7" ht="12.5" x14ac:dyDescent="0.25">
      <c r="A38" s="9" t="str">
        <f ca="1">IFERROR(__xludf.DUMMYFUNCTION("""COMPUTED_VALUE"""),"G851 - Biokimia (BIK)")</f>
        <v>G851 - Biokimia (BIK)</v>
      </c>
      <c r="B38" s="44">
        <v>37</v>
      </c>
      <c r="C38" s="44" t="str">
        <f t="shared" ca="1" si="0"/>
        <v>G851</v>
      </c>
      <c r="D38" s="35" t="str">
        <f t="shared" ca="1" si="1"/>
        <v>Biokimia</v>
      </c>
      <c r="E38" s="35" t="str">
        <f t="shared" ca="1" si="2"/>
        <v>BIK</v>
      </c>
      <c r="F38" s="44" t="str">
        <f t="shared" ca="1" si="3"/>
        <v>g</v>
      </c>
      <c r="G38" s="35" t="str">
        <f t="shared" ca="1" si="4"/>
        <v>('G851','Biokimia','BIK','g'),</v>
      </c>
    </row>
    <row r="39" spans="1:7" ht="12.5" x14ac:dyDescent="0.25">
      <c r="A39" s="9" t="str">
        <f ca="1">IFERROR(__xludf.DUMMYFUNCTION("""COMPUTED_VALUE"""),"H051 - Ilmu Perencanaan Pembangunan Wilayah dan Pedesaan (PWD)")</f>
        <v>H051 - Ilmu Perencanaan Pembangunan Wilayah dan Pedesaan (PWD)</v>
      </c>
      <c r="B39" s="44">
        <v>38</v>
      </c>
      <c r="C39" s="44" t="str">
        <f t="shared" ca="1" si="0"/>
        <v>H051</v>
      </c>
      <c r="D39" s="35" t="str">
        <f t="shared" ca="1" si="1"/>
        <v>Ilmu Perencanaan Pembangunan Wilayah dan Pedesaan</v>
      </c>
      <c r="E39" s="35" t="str">
        <f t="shared" ca="1" si="2"/>
        <v>PWD</v>
      </c>
      <c r="F39" s="44" t="str">
        <f t="shared" ca="1" si="3"/>
        <v>h</v>
      </c>
      <c r="G39" s="35" t="str">
        <f t="shared" ca="1" si="4"/>
        <v>('H051','Ilmu Perencanaan Pembangunan Wilayah dan Pedesaan','PWD','h'),</v>
      </c>
    </row>
    <row r="40" spans="1:7" ht="12.5" x14ac:dyDescent="0.25">
      <c r="A40" s="9" t="str">
        <f ca="1">IFERROR(__xludf.DUMMYFUNCTION("""COMPUTED_VALUE"""),"H052 - Manajemen Pembangunan Daerah (MPD)")</f>
        <v>H052 - Manajemen Pembangunan Daerah (MPD)</v>
      </c>
      <c r="B40" s="44">
        <v>39</v>
      </c>
      <c r="C40" s="44" t="str">
        <f t="shared" ca="1" si="0"/>
        <v>H052</v>
      </c>
      <c r="D40" s="35" t="str">
        <f t="shared" ca="1" si="1"/>
        <v>Manajemen Pembangunan Daerah</v>
      </c>
      <c r="E40" s="35" t="str">
        <f t="shared" ca="1" si="2"/>
        <v>MPD</v>
      </c>
      <c r="F40" s="44" t="str">
        <f t="shared" ca="1" si="3"/>
        <v>h</v>
      </c>
      <c r="G40" s="35" t="str">
        <f t="shared" ca="1" si="4"/>
        <v>('H052','Manajemen Pembangunan Daerah','MPD','h'),</v>
      </c>
    </row>
    <row r="41" spans="1:7" ht="12.5" x14ac:dyDescent="0.25">
      <c r="A41" s="9" t="str">
        <f ca="1">IFERROR(__xludf.DUMMYFUNCTION("""COMPUTED_VALUE"""),"H151 - Ilmu Ekonomi (EKO)")</f>
        <v>H151 - Ilmu Ekonomi (EKO)</v>
      </c>
      <c r="B41" s="44">
        <v>40</v>
      </c>
      <c r="C41" s="44" t="str">
        <f t="shared" ca="1" si="0"/>
        <v>H151</v>
      </c>
      <c r="D41" s="35" t="str">
        <f t="shared" ca="1" si="1"/>
        <v>Ilmu Ekonomi</v>
      </c>
      <c r="E41" s="35" t="str">
        <f t="shared" ca="1" si="2"/>
        <v>EKO</v>
      </c>
      <c r="F41" s="44" t="str">
        <f t="shared" ca="1" si="3"/>
        <v>h</v>
      </c>
      <c r="G41" s="35" t="str">
        <f t="shared" ca="1" si="4"/>
        <v>('H151','Ilmu Ekonomi','EKO','h'),</v>
      </c>
    </row>
    <row r="42" spans="1:7" ht="12.5" x14ac:dyDescent="0.25">
      <c r="A42" s="9" t="str">
        <f ca="1">IFERROR(__xludf.DUMMYFUNCTION("""COMPUTED_VALUE"""),"H251 - Ilmu Manajemen (MAN)")</f>
        <v>H251 - Ilmu Manajemen (MAN)</v>
      </c>
      <c r="B42" s="44">
        <v>41</v>
      </c>
      <c r="C42" s="44" t="str">
        <f t="shared" ca="1" si="0"/>
        <v>H251</v>
      </c>
      <c r="D42" s="35" t="str">
        <f t="shared" ca="1" si="1"/>
        <v>Ilmu Manajemen</v>
      </c>
      <c r="E42" s="35" t="str">
        <f t="shared" ca="1" si="2"/>
        <v>MAN</v>
      </c>
      <c r="F42" s="44" t="str">
        <f t="shared" ca="1" si="3"/>
        <v>h</v>
      </c>
      <c r="G42" s="35" t="str">
        <f t="shared" ca="1" si="4"/>
        <v>('H251','Ilmu Manajemen','MAN','h'),</v>
      </c>
    </row>
    <row r="43" spans="1:7" ht="12.5" x14ac:dyDescent="0.25">
      <c r="A43" s="9" t="str">
        <f ca="1">IFERROR(__xludf.DUMMYFUNCTION("""COMPUTED_VALUE"""),"H351 - Sains Agribisnis (AGB)")</f>
        <v>H351 - Sains Agribisnis (AGB)</v>
      </c>
      <c r="B43" s="44">
        <v>42</v>
      </c>
      <c r="C43" s="44" t="str">
        <f t="shared" ca="1" si="0"/>
        <v>H351</v>
      </c>
      <c r="D43" s="35" t="str">
        <f t="shared" ca="1" si="1"/>
        <v>Sains Agribisnis</v>
      </c>
      <c r="E43" s="35" t="str">
        <f t="shared" ca="1" si="2"/>
        <v>AGB</v>
      </c>
      <c r="F43" s="44" t="str">
        <f t="shared" ca="1" si="3"/>
        <v>h</v>
      </c>
      <c r="G43" s="35" t="str">
        <f t="shared" ca="1" si="4"/>
        <v>('H351','Sains Agribisnis','AGB','h'),</v>
      </c>
    </row>
    <row r="44" spans="1:7" ht="12.5" x14ac:dyDescent="0.25">
      <c r="A44" s="9" t="str">
        <f ca="1">IFERROR(__xludf.DUMMYFUNCTION("""COMPUTED_VALUE"""),"H451 - Ekonomi Sumberdaya dan Lingkungan (ESL)")</f>
        <v>H451 - Ekonomi Sumberdaya dan Lingkungan (ESL)</v>
      </c>
      <c r="B44" s="44">
        <v>43</v>
      </c>
      <c r="C44" s="44" t="str">
        <f t="shared" ca="1" si="0"/>
        <v>H451</v>
      </c>
      <c r="D44" s="35" t="str">
        <f t="shared" ca="1" si="1"/>
        <v>Ekonomi Sumberdaya dan Lingkungan</v>
      </c>
      <c r="E44" s="35" t="str">
        <f t="shared" ca="1" si="2"/>
        <v>ESL</v>
      </c>
      <c r="F44" s="44" t="str">
        <f t="shared" ca="1" si="3"/>
        <v>h</v>
      </c>
      <c r="G44" s="35" t="str">
        <f t="shared" ca="1" si="4"/>
        <v>('H451','Ekonomi Sumberdaya dan Lingkungan','ESL','h'),</v>
      </c>
    </row>
    <row r="45" spans="1:7" ht="12.5" x14ac:dyDescent="0.25">
      <c r="A45" s="9" t="str">
        <f ca="1">IFERROR(__xludf.DUMMYFUNCTION("""COMPUTED_VALUE"""),"H453 - Ilmu Ekonomi Pertanian (EPN)")</f>
        <v>H453 - Ilmu Ekonomi Pertanian (EPN)</v>
      </c>
      <c r="B45" s="44">
        <v>44</v>
      </c>
      <c r="C45" s="44" t="str">
        <f t="shared" ca="1" si="0"/>
        <v>H453</v>
      </c>
      <c r="D45" s="35" t="str">
        <f t="shared" ca="1" si="1"/>
        <v>Ilmu Ekonomi Pertanian</v>
      </c>
      <c r="E45" s="35" t="str">
        <f t="shared" ca="1" si="2"/>
        <v>EPN</v>
      </c>
      <c r="F45" s="44" t="str">
        <f t="shared" ca="1" si="3"/>
        <v>h</v>
      </c>
      <c r="G45" s="35" t="str">
        <f t="shared" ca="1" si="4"/>
        <v>('H453','Ilmu Ekonomi Pertanian','EPN','h'),</v>
      </c>
    </row>
    <row r="46" spans="1:7" ht="12.5" x14ac:dyDescent="0.25">
      <c r="A46" s="9" t="str">
        <f ca="1">IFERROR(__xludf.DUMMYFUNCTION("""COMPUTED_VALUE"""),"H454 - Ekonomi Kelautan Tropika (EKT)")</f>
        <v>H454 - Ekonomi Kelautan Tropika (EKT)</v>
      </c>
      <c r="B46" s="44">
        <v>45</v>
      </c>
      <c r="C46" s="44" t="str">
        <f t="shared" ca="1" si="0"/>
        <v>H454</v>
      </c>
      <c r="D46" s="35" t="str">
        <f t="shared" ca="1" si="1"/>
        <v>Ekonomi Kelautan Tropika</v>
      </c>
      <c r="E46" s="35" t="str">
        <f t="shared" ca="1" si="2"/>
        <v>EKT</v>
      </c>
      <c r="F46" s="44" t="str">
        <f t="shared" ca="1" si="3"/>
        <v>h</v>
      </c>
      <c r="G46" s="35" t="str">
        <f t="shared" ca="1" si="4"/>
        <v>('H454','Ekonomi Kelautan Tropika','EKT','h'),</v>
      </c>
    </row>
    <row r="47" spans="1:7" ht="12.5" x14ac:dyDescent="0.25">
      <c r="A47" s="9" t="str">
        <f ca="1">IFERROR(__xludf.DUMMYFUNCTION("""COMPUTED_VALUE"""),"I154 - Ilmu Gizi (GIZ)")</f>
        <v>I154 - Ilmu Gizi (GIZ)</v>
      </c>
      <c r="B47" s="44">
        <v>46</v>
      </c>
      <c r="C47" s="44" t="str">
        <f t="shared" ca="1" si="0"/>
        <v>I154</v>
      </c>
      <c r="D47" s="35" t="str">
        <f t="shared" ca="1" si="1"/>
        <v>Ilmu Gizi</v>
      </c>
      <c r="E47" s="35" t="str">
        <f t="shared" ca="1" si="2"/>
        <v>GIZ</v>
      </c>
      <c r="F47" s="44" t="str">
        <f t="shared" ca="1" si="3"/>
        <v>i</v>
      </c>
      <c r="G47" s="35" t="str">
        <f t="shared" ca="1" si="4"/>
        <v>('I154','Ilmu Gizi','GIZ','i'),</v>
      </c>
    </row>
    <row r="48" spans="1:7" ht="12.5" x14ac:dyDescent="0.25">
      <c r="A48" s="9" t="str">
        <f ca="1">IFERROR(__xludf.DUMMYFUNCTION("""COMPUTED_VALUE"""),"I251 - Ilmu Keluarga dan Perkembangan Anak (IKA)")</f>
        <v>I251 - Ilmu Keluarga dan Perkembangan Anak (IKA)</v>
      </c>
      <c r="B48" s="44">
        <v>47</v>
      </c>
      <c r="C48" s="44" t="str">
        <f t="shared" ca="1" si="0"/>
        <v>I251</v>
      </c>
      <c r="D48" s="35" t="str">
        <f t="shared" ca="1" si="1"/>
        <v>Ilmu Keluarga dan Perkembangan Anak</v>
      </c>
      <c r="E48" s="35" t="str">
        <f t="shared" ca="1" si="2"/>
        <v>IKA</v>
      </c>
      <c r="F48" s="44" t="str">
        <f t="shared" ca="1" si="3"/>
        <v>i</v>
      </c>
      <c r="G48" s="35" t="str">
        <f t="shared" ca="1" si="4"/>
        <v>('I251','Ilmu Keluarga dan Perkembangan Anak','IKA','i'),</v>
      </c>
    </row>
    <row r="49" spans="1:7" ht="12.5" x14ac:dyDescent="0.25">
      <c r="A49" s="9" t="str">
        <f ca="1">IFERROR(__xludf.DUMMYFUNCTION("""COMPUTED_VALUE"""),"I352 - Komunikasi Pembangunan Pertanian dan Pedesaan (KMP)")</f>
        <v>I352 - Komunikasi Pembangunan Pertanian dan Pedesaan (KMP)</v>
      </c>
      <c r="B49" s="44">
        <v>48</v>
      </c>
      <c r="C49" s="44" t="str">
        <f t="shared" ca="1" si="0"/>
        <v>I352</v>
      </c>
      <c r="D49" s="35" t="str">
        <f t="shared" ca="1" si="1"/>
        <v>Komunikasi Pembangunan Pertanian dan Pedesaan</v>
      </c>
      <c r="E49" s="35" t="str">
        <f t="shared" ca="1" si="2"/>
        <v>KMP</v>
      </c>
      <c r="F49" s="44" t="str">
        <f t="shared" ca="1" si="3"/>
        <v>i</v>
      </c>
      <c r="G49" s="35" t="str">
        <f t="shared" ca="1" si="4"/>
        <v>('I352','Komunikasi Pembangunan Pertanian dan Pedesaan','KMP','i'),</v>
      </c>
    </row>
    <row r="50" spans="1:7" ht="12.5" x14ac:dyDescent="0.25">
      <c r="A50" s="9" t="str">
        <f ca="1">IFERROR(__xludf.DUMMYFUNCTION("""COMPUTED_VALUE"""),"I353 - Sosiologi Pedesaan (SPD)")</f>
        <v>I353 - Sosiologi Pedesaan (SPD)</v>
      </c>
      <c r="B50" s="44">
        <v>49</v>
      </c>
      <c r="C50" s="44" t="str">
        <f t="shared" ca="1" si="0"/>
        <v>I353</v>
      </c>
      <c r="D50" s="35" t="str">
        <f t="shared" ca="1" si="1"/>
        <v>Sosiologi Pedesaan</v>
      </c>
      <c r="E50" s="35" t="str">
        <f t="shared" ca="1" si="2"/>
        <v>SPD</v>
      </c>
      <c r="F50" s="44" t="str">
        <f t="shared" ca="1" si="3"/>
        <v>i</v>
      </c>
      <c r="G50" s="35" t="str">
        <f t="shared" ca="1" si="4"/>
        <v>('I353','Sosiologi Pedesaan','SPD','i'),</v>
      </c>
    </row>
    <row r="51" spans="1:7" ht="12.5" x14ac:dyDescent="0.25">
      <c r="A51" s="9" t="str">
        <f ca="1">IFERROR(__xludf.DUMMYFUNCTION("""COMPUTED_VALUE"""),"K151 - Manajemen dan Bisnis (MB )")</f>
        <v>K151 - Manajemen dan Bisnis (MB )</v>
      </c>
      <c r="B51" s="44">
        <v>50</v>
      </c>
      <c r="C51" s="44" t="str">
        <f t="shared" ca="1" si="0"/>
        <v>K151</v>
      </c>
      <c r="D51" s="35" t="str">
        <f t="shared" ca="1" si="1"/>
        <v>Manajemen dan Bisnis</v>
      </c>
      <c r="E51" s="35" t="str">
        <f t="shared" ca="1" si="2"/>
        <v xml:space="preserve">MB </v>
      </c>
      <c r="F51" s="44" t="str">
        <f t="shared" ca="1" si="3"/>
        <v>k</v>
      </c>
      <c r="G51" s="35" t="str">
        <f t="shared" ca="1" si="4"/>
        <v>('K151','Manajemen dan Bisnis','MB ','k'),</v>
      </c>
    </row>
    <row r="52" spans="1:7" ht="12.5" x14ac:dyDescent="0.25">
      <c r="A52" s="9" t="str">
        <f ca="1">IFERROR(__xludf.DUMMYFUNCTION("""COMPUTED_VALUE"""),"P051 - Bioteknologi (BTK)")</f>
        <v>P051 - Bioteknologi (BTK)</v>
      </c>
      <c r="B52" s="44">
        <v>51</v>
      </c>
      <c r="C52" s="44" t="str">
        <f t="shared" ca="1" si="0"/>
        <v>P051</v>
      </c>
      <c r="D52" s="35" t="str">
        <f t="shared" ca="1" si="1"/>
        <v>Bioteknologi</v>
      </c>
      <c r="E52" s="35" t="str">
        <f t="shared" ca="1" si="2"/>
        <v>BTK</v>
      </c>
      <c r="F52" s="44" t="str">
        <f t="shared" ca="1" si="3"/>
        <v>p</v>
      </c>
      <c r="G52" s="35" t="str">
        <f t="shared" ca="1" si="4"/>
        <v>('P051','Bioteknologi','BTK','p'),</v>
      </c>
    </row>
    <row r="53" spans="1:7" ht="12.5" x14ac:dyDescent="0.25">
      <c r="A53" s="9" t="str">
        <f ca="1">IFERROR(__xludf.DUMMYFUNCTION("""COMPUTED_VALUE"""),"P052 - Ilmu Pengelolaan Sumberdaya Alam dan Lingkungan (PSL)")</f>
        <v>P052 - Ilmu Pengelolaan Sumberdaya Alam dan Lingkungan (PSL)</v>
      </c>
      <c r="B53" s="44">
        <v>52</v>
      </c>
      <c r="C53" s="44" t="str">
        <f t="shared" ca="1" si="0"/>
        <v>P052</v>
      </c>
      <c r="D53" s="35" t="str">
        <f t="shared" ca="1" si="1"/>
        <v>Ilmu Pengelolaan Sumberdaya Alam dan Lingkungan</v>
      </c>
      <c r="E53" s="35" t="str">
        <f t="shared" ca="1" si="2"/>
        <v>PSL</v>
      </c>
      <c r="F53" s="44" t="str">
        <f t="shared" ca="1" si="3"/>
        <v>p</v>
      </c>
      <c r="G53" s="35" t="str">
        <f t="shared" ca="1" si="4"/>
        <v>('P052','Ilmu Pengelolaan Sumberdaya Alam dan Lingkungan','PSL','p'),</v>
      </c>
    </row>
    <row r="54" spans="1:7" ht="12.5" x14ac:dyDescent="0.25">
      <c r="A54" s="9" t="str">
        <f ca="1">IFERROR(__xludf.DUMMYFUNCTION("""COMPUTED_VALUE"""),"P054 - Pengembangan Industri Kecil Menengah (MPI)")</f>
        <v>P054 - Pengembangan Industri Kecil Menengah (MPI)</v>
      </c>
      <c r="B54" s="44">
        <v>53</v>
      </c>
      <c r="C54" s="44" t="str">
        <f t="shared" ca="1" si="0"/>
        <v>P054</v>
      </c>
      <c r="D54" s="35" t="str">
        <f t="shared" ca="1" si="1"/>
        <v>Pengembangan Industri Kecil Menengah</v>
      </c>
      <c r="E54" s="35" t="str">
        <f t="shared" ca="1" si="2"/>
        <v>MPI</v>
      </c>
      <c r="F54" s="44" t="str">
        <f t="shared" ca="1" si="3"/>
        <v>p</v>
      </c>
      <c r="G54" s="35" t="str">
        <f t="shared" ca="1" si="4"/>
        <v>('P054','Pengembangan Industri Kecil Menengah','MPI','p'),</v>
      </c>
    </row>
    <row r="55" spans="1:7" ht="12.5" x14ac:dyDescent="0.25">
      <c r="A55" s="9" t="str">
        <f ca="1">IFERROR(__xludf.DUMMYFUNCTION("""COMPUTED_VALUE"""),"P055 - Logistik Agro-Maritim (LOG)")</f>
        <v>P055 - Logistik Agro-Maritim (LOG)</v>
      </c>
      <c r="B55" s="44">
        <v>54</v>
      </c>
      <c r="C55" s="44" t="str">
        <f t="shared" ca="1" si="0"/>
        <v>P055</v>
      </c>
      <c r="D55" s="35" t="str">
        <f t="shared" ca="1" si="1"/>
        <v>Logistik Agro-Maritim</v>
      </c>
      <c r="E55" s="35" t="str">
        <f t="shared" ca="1" si="2"/>
        <v>LOG</v>
      </c>
      <c r="F55" s="44" t="str">
        <f t="shared" ca="1" si="3"/>
        <v>p</v>
      </c>
      <c r="G55" s="35" t="str">
        <f t="shared" ca="1" si="4"/>
        <v>('P055','Logistik Agro-Maritim','LOG','p'),</v>
      </c>
    </row>
    <row r="56" spans="1:7" ht="12.5" x14ac:dyDescent="0.25">
      <c r="A56" s="9"/>
      <c r="B56" s="16"/>
      <c r="C56" s="16"/>
      <c r="D56" s="9"/>
      <c r="E56" s="9"/>
      <c r="F56" s="16"/>
      <c r="G56" s="9"/>
    </row>
    <row r="57" spans="1:7" ht="12.5" x14ac:dyDescent="0.25">
      <c r="B57" s="16"/>
      <c r="C57" s="16"/>
      <c r="D57" s="9"/>
      <c r="E57" s="9"/>
      <c r="F57" s="16"/>
      <c r="G57" s="9"/>
    </row>
    <row r="58" spans="1:7" ht="12.5" x14ac:dyDescent="0.25">
      <c r="B58" s="16"/>
      <c r="C58" s="16"/>
      <c r="D58" s="9"/>
      <c r="E58" s="9"/>
      <c r="F58" s="16"/>
      <c r="G58" s="9"/>
    </row>
    <row r="59" spans="1:7" ht="12.5" x14ac:dyDescent="0.25">
      <c r="B59" s="16"/>
      <c r="C59" s="16"/>
      <c r="D59" s="9"/>
      <c r="E59" s="9"/>
      <c r="F59" s="16"/>
      <c r="G59" s="9"/>
    </row>
    <row r="60" spans="1:7" ht="12.5" x14ac:dyDescent="0.25">
      <c r="B60" s="16"/>
      <c r="C60" s="16"/>
      <c r="D60" s="9"/>
      <c r="E60" s="9"/>
      <c r="F60" s="16"/>
      <c r="G60" s="9"/>
    </row>
    <row r="61" spans="1:7" ht="12.5" x14ac:dyDescent="0.25">
      <c r="B61" s="16"/>
      <c r="C61" s="16"/>
      <c r="D61" s="9"/>
      <c r="E61" s="9"/>
      <c r="F61" s="16"/>
      <c r="G61" s="9"/>
    </row>
    <row r="62" spans="1:7" ht="12.5" x14ac:dyDescent="0.25">
      <c r="B62" s="16"/>
      <c r="C62" s="16"/>
      <c r="D62" s="9"/>
      <c r="E62" s="9"/>
      <c r="F62" s="16"/>
      <c r="G62" s="9"/>
    </row>
    <row r="63" spans="1:7" ht="12.5" x14ac:dyDescent="0.25">
      <c r="B63" s="16"/>
      <c r="C63" s="16"/>
      <c r="D63" s="9"/>
      <c r="E63" s="9"/>
      <c r="F63" s="16"/>
      <c r="G63" s="9"/>
    </row>
    <row r="64" spans="1:7" ht="12.5" x14ac:dyDescent="0.25">
      <c r="B64" s="16"/>
      <c r="C64" s="16"/>
      <c r="D64" s="9"/>
      <c r="E64" s="9"/>
      <c r="F64" s="16"/>
      <c r="G64" s="9"/>
    </row>
    <row r="65" spans="2:7" ht="12.5" x14ac:dyDescent="0.25">
      <c r="B65" s="16"/>
      <c r="C65" s="16"/>
      <c r="D65" s="9"/>
      <c r="E65" s="9"/>
      <c r="F65" s="16"/>
      <c r="G65" s="9"/>
    </row>
    <row r="66" spans="2:7" ht="12.5" x14ac:dyDescent="0.25">
      <c r="B66" s="16"/>
      <c r="C66" s="16"/>
      <c r="D66" s="9"/>
      <c r="E66" s="9"/>
      <c r="F66" s="16"/>
      <c r="G66" s="9"/>
    </row>
    <row r="67" spans="2:7" ht="12.5" x14ac:dyDescent="0.25">
      <c r="B67" s="16"/>
      <c r="C67" s="16"/>
      <c r="D67" s="9"/>
      <c r="E67" s="9"/>
      <c r="F67" s="16"/>
      <c r="G67" s="9"/>
    </row>
    <row r="68" spans="2:7" ht="12.5" x14ac:dyDescent="0.25">
      <c r="B68" s="16"/>
      <c r="C68" s="16"/>
      <c r="D68" s="9"/>
      <c r="E68" s="9"/>
      <c r="F68" s="16"/>
      <c r="G68" s="9"/>
    </row>
    <row r="69" spans="2:7" ht="12.5" x14ac:dyDescent="0.25">
      <c r="B69" s="16"/>
      <c r="C69" s="16"/>
      <c r="D69" s="9"/>
      <c r="E69" s="9"/>
      <c r="F69" s="16"/>
      <c r="G69" s="9"/>
    </row>
    <row r="70" spans="2:7" ht="12.5" x14ac:dyDescent="0.25">
      <c r="B70" s="16"/>
      <c r="C70" s="16"/>
      <c r="D70" s="9"/>
      <c r="E70" s="9"/>
      <c r="F70" s="16"/>
      <c r="G70" s="9"/>
    </row>
    <row r="71" spans="2:7" ht="12.5" x14ac:dyDescent="0.25">
      <c r="B71" s="16"/>
      <c r="C71" s="16"/>
      <c r="D71" s="9"/>
      <c r="E71" s="9"/>
      <c r="F71" s="16"/>
      <c r="G71" s="9"/>
    </row>
    <row r="72" spans="2:7" ht="12.5" x14ac:dyDescent="0.25">
      <c r="B72" s="16"/>
      <c r="C72" s="16"/>
      <c r="D72" s="9"/>
      <c r="E72" s="9"/>
      <c r="F72" s="16"/>
      <c r="G72" s="9"/>
    </row>
    <row r="73" spans="2:7" ht="12.5" x14ac:dyDescent="0.25">
      <c r="B73" s="16"/>
      <c r="C73" s="16"/>
      <c r="D73" s="9"/>
      <c r="E73" s="9"/>
      <c r="F73" s="16"/>
      <c r="G73" s="9"/>
    </row>
    <row r="74" spans="2:7" ht="12.5" x14ac:dyDescent="0.25">
      <c r="B74" s="16"/>
      <c r="C74" s="16"/>
      <c r="D74" s="9"/>
      <c r="E74" s="9"/>
      <c r="F74" s="16"/>
      <c r="G74" s="9"/>
    </row>
    <row r="75" spans="2:7" ht="12.5" x14ac:dyDescent="0.25">
      <c r="B75" s="16"/>
      <c r="C75" s="16"/>
      <c r="D75" s="9"/>
      <c r="E75" s="9"/>
      <c r="F75" s="16"/>
      <c r="G75" s="9"/>
    </row>
    <row r="76" spans="2:7" ht="12.5" x14ac:dyDescent="0.25">
      <c r="B76" s="16"/>
      <c r="C76" s="16"/>
      <c r="D76" s="9"/>
      <c r="E76" s="9"/>
      <c r="F76" s="16"/>
      <c r="G76" s="9"/>
    </row>
    <row r="77" spans="2:7" ht="12.5" x14ac:dyDescent="0.25">
      <c r="B77" s="16"/>
      <c r="C77" s="16"/>
      <c r="D77" s="9"/>
      <c r="E77" s="9"/>
      <c r="F77" s="16"/>
      <c r="G77" s="9"/>
    </row>
    <row r="78" spans="2:7" ht="12.5" x14ac:dyDescent="0.25">
      <c r="B78" s="16"/>
      <c r="C78" s="16"/>
      <c r="D78" s="9"/>
      <c r="E78" s="9"/>
      <c r="F78" s="16"/>
      <c r="G78" s="9"/>
    </row>
    <row r="79" spans="2:7" ht="12.5" x14ac:dyDescent="0.25">
      <c r="B79" s="16"/>
      <c r="C79" s="16"/>
      <c r="D79" s="9"/>
      <c r="E79" s="9"/>
      <c r="F79" s="16"/>
      <c r="G79" s="9"/>
    </row>
    <row r="80" spans="2:7" ht="12.5" x14ac:dyDescent="0.25">
      <c r="B80" s="16"/>
      <c r="C80" s="16"/>
      <c r="D80" s="9"/>
      <c r="E80" s="9"/>
      <c r="F80" s="16"/>
      <c r="G80" s="9"/>
    </row>
    <row r="81" spans="2:7" ht="12.5" x14ac:dyDescent="0.25">
      <c r="B81" s="16"/>
      <c r="C81" s="16"/>
      <c r="D81" s="9"/>
      <c r="E81" s="9"/>
      <c r="F81" s="16"/>
      <c r="G81" s="9"/>
    </row>
    <row r="82" spans="2:7" ht="12.5" x14ac:dyDescent="0.25">
      <c r="B82" s="16"/>
      <c r="C82" s="16"/>
      <c r="D82" s="9"/>
      <c r="E82" s="9"/>
      <c r="F82" s="16"/>
      <c r="G82" s="9"/>
    </row>
    <row r="83" spans="2:7" ht="12.5" x14ac:dyDescent="0.25">
      <c r="B83" s="16"/>
      <c r="C83" s="16"/>
      <c r="D83" s="9"/>
      <c r="E83" s="9"/>
      <c r="F83" s="16"/>
      <c r="G83" s="9"/>
    </row>
    <row r="84" spans="2:7" ht="12.5" x14ac:dyDescent="0.25">
      <c r="B84" s="16"/>
      <c r="C84" s="16"/>
      <c r="D84" s="9"/>
      <c r="E84" s="9"/>
      <c r="F84" s="16"/>
      <c r="G84" s="9"/>
    </row>
    <row r="85" spans="2:7" ht="12.5" x14ac:dyDescent="0.25">
      <c r="B85" s="16"/>
      <c r="C85" s="16"/>
      <c r="D85" s="9"/>
      <c r="E85" s="9"/>
      <c r="F85" s="16"/>
      <c r="G85" s="9"/>
    </row>
    <row r="86" spans="2:7" ht="12.5" x14ac:dyDescent="0.25">
      <c r="B86" s="16"/>
      <c r="C86" s="16"/>
      <c r="D86" s="9"/>
      <c r="E86" s="9"/>
      <c r="F86" s="16"/>
      <c r="G86" s="9"/>
    </row>
    <row r="87" spans="2:7" ht="12.5" x14ac:dyDescent="0.25">
      <c r="B87" s="16"/>
      <c r="C87" s="16"/>
      <c r="D87" s="9"/>
      <c r="E87" s="9"/>
      <c r="F87" s="16"/>
      <c r="G87" s="9"/>
    </row>
    <row r="88" spans="2:7" ht="12.5" x14ac:dyDescent="0.25">
      <c r="B88" s="16"/>
      <c r="C88" s="16"/>
      <c r="D88" s="9"/>
      <c r="E88" s="9"/>
      <c r="F88" s="16"/>
      <c r="G88" s="9"/>
    </row>
    <row r="89" spans="2:7" ht="12.5" x14ac:dyDescent="0.25">
      <c r="B89" s="16"/>
      <c r="C89" s="16"/>
      <c r="D89" s="9"/>
      <c r="E89" s="9"/>
      <c r="F89" s="16"/>
      <c r="G89" s="9"/>
    </row>
    <row r="90" spans="2:7" ht="12.5" x14ac:dyDescent="0.25">
      <c r="B90" s="16"/>
      <c r="C90" s="16"/>
      <c r="D90" s="9"/>
      <c r="E90" s="9"/>
      <c r="F90" s="16"/>
      <c r="G90" s="9"/>
    </row>
    <row r="91" spans="2:7" ht="12.5" x14ac:dyDescent="0.25">
      <c r="B91" s="16"/>
      <c r="C91" s="16"/>
      <c r="D91" s="9"/>
      <c r="E91" s="9"/>
      <c r="F91" s="16"/>
      <c r="G91" s="9"/>
    </row>
    <row r="92" spans="2:7" ht="12.5" x14ac:dyDescent="0.25">
      <c r="B92" s="16"/>
      <c r="C92" s="16"/>
      <c r="D92" s="9"/>
      <c r="E92" s="9"/>
      <c r="F92" s="16"/>
      <c r="G92" s="9"/>
    </row>
    <row r="93" spans="2:7" ht="12.5" x14ac:dyDescent="0.25">
      <c r="B93" s="16"/>
      <c r="C93" s="16"/>
      <c r="D93" s="9"/>
      <c r="E93" s="9"/>
      <c r="F93" s="16"/>
      <c r="G93" s="9"/>
    </row>
    <row r="94" spans="2:7" ht="12.5" x14ac:dyDescent="0.25">
      <c r="B94" s="16"/>
      <c r="C94" s="16"/>
      <c r="D94" s="9"/>
      <c r="E94" s="9"/>
      <c r="F94" s="16"/>
      <c r="G94" s="9"/>
    </row>
    <row r="95" spans="2:7" ht="12.5" x14ac:dyDescent="0.25">
      <c r="B95" s="16"/>
      <c r="C95" s="16"/>
      <c r="D95" s="9"/>
      <c r="E95" s="9"/>
      <c r="F95" s="16"/>
      <c r="G95" s="9"/>
    </row>
    <row r="96" spans="2:7" ht="12.5" x14ac:dyDescent="0.25">
      <c r="B96" s="16"/>
      <c r="C96" s="16"/>
      <c r="D96" s="9"/>
      <c r="E96" s="9"/>
      <c r="F96" s="16"/>
      <c r="G96" s="9"/>
    </row>
    <row r="97" spans="2:7" ht="12.5" x14ac:dyDescent="0.25">
      <c r="B97" s="16"/>
      <c r="C97" s="16"/>
      <c r="D97" s="9"/>
      <c r="E97" s="9"/>
      <c r="F97" s="16"/>
      <c r="G97" s="9"/>
    </row>
    <row r="98" spans="2:7" ht="12.5" x14ac:dyDescent="0.25">
      <c r="B98" s="16"/>
      <c r="C98" s="16"/>
      <c r="D98" s="9"/>
      <c r="E98" s="9"/>
      <c r="F98" s="16"/>
      <c r="G98" s="9"/>
    </row>
    <row r="99" spans="2:7" ht="12.5" x14ac:dyDescent="0.25">
      <c r="B99" s="16"/>
      <c r="C99" s="16"/>
      <c r="D99" s="9"/>
      <c r="E99" s="9"/>
      <c r="F99" s="16"/>
      <c r="G99" s="9"/>
    </row>
    <row r="100" spans="2:7" ht="12.5" x14ac:dyDescent="0.25">
      <c r="B100" s="16"/>
      <c r="C100" s="16"/>
      <c r="D100" s="9"/>
      <c r="E100" s="9"/>
      <c r="F100" s="16"/>
      <c r="G100" s="9"/>
    </row>
    <row r="101" spans="2:7" ht="12.5" x14ac:dyDescent="0.25">
      <c r="B101" s="16"/>
      <c r="C101" s="16"/>
      <c r="D101" s="9"/>
      <c r="E101" s="9"/>
      <c r="F101" s="16"/>
      <c r="G101" s="9"/>
    </row>
    <row r="102" spans="2:7" ht="12.5" x14ac:dyDescent="0.25">
      <c r="B102" s="16"/>
      <c r="C102" s="16"/>
      <c r="D102" s="9"/>
      <c r="E102" s="9"/>
      <c r="F102" s="16"/>
      <c r="G102" s="9"/>
    </row>
    <row r="103" spans="2:7" ht="12.5" x14ac:dyDescent="0.25">
      <c r="B103" s="16"/>
      <c r="C103" s="16"/>
      <c r="D103" s="9"/>
      <c r="E103" s="9"/>
      <c r="F103" s="16"/>
      <c r="G103" s="9"/>
    </row>
    <row r="104" spans="2:7" ht="12.5" x14ac:dyDescent="0.25">
      <c r="B104" s="16"/>
      <c r="C104" s="16"/>
      <c r="D104" s="9"/>
      <c r="E104" s="9"/>
      <c r="F104" s="16"/>
      <c r="G104" s="9"/>
    </row>
    <row r="105" spans="2:7" ht="12.5" x14ac:dyDescent="0.25">
      <c r="B105" s="16"/>
      <c r="C105" s="16"/>
      <c r="D105" s="9"/>
      <c r="E105" s="9"/>
      <c r="F105" s="16"/>
      <c r="G105" s="9"/>
    </row>
    <row r="106" spans="2:7" ht="12.5" x14ac:dyDescent="0.25">
      <c r="B106" s="16"/>
      <c r="C106" s="16"/>
      <c r="D106" s="9"/>
      <c r="E106" s="9"/>
      <c r="F106" s="16"/>
      <c r="G106" s="9"/>
    </row>
    <row r="107" spans="2:7" ht="12.5" x14ac:dyDescent="0.25">
      <c r="B107" s="16"/>
      <c r="C107" s="16"/>
      <c r="D107" s="9"/>
      <c r="E107" s="9"/>
      <c r="F107" s="16"/>
      <c r="G107" s="9"/>
    </row>
    <row r="108" spans="2:7" ht="12.5" x14ac:dyDescent="0.25">
      <c r="B108" s="16"/>
      <c r="C108" s="16"/>
      <c r="D108" s="9"/>
      <c r="E108" s="9"/>
      <c r="F108" s="16"/>
      <c r="G108" s="9"/>
    </row>
    <row r="109" spans="2:7" ht="12.5" x14ac:dyDescent="0.25">
      <c r="B109" s="16"/>
      <c r="C109" s="16"/>
      <c r="D109" s="9"/>
      <c r="E109" s="9"/>
      <c r="F109" s="16"/>
      <c r="G109" s="9"/>
    </row>
    <row r="110" spans="2:7" ht="12.5" x14ac:dyDescent="0.25">
      <c r="B110" s="16"/>
      <c r="C110" s="16"/>
      <c r="D110" s="9"/>
      <c r="E110" s="9"/>
      <c r="F110" s="16"/>
      <c r="G110" s="9"/>
    </row>
    <row r="111" spans="2:7" ht="12.5" x14ac:dyDescent="0.25">
      <c r="B111" s="16"/>
      <c r="C111" s="16"/>
      <c r="D111" s="9"/>
      <c r="E111" s="9"/>
      <c r="F111" s="16"/>
      <c r="G111" s="9"/>
    </row>
    <row r="112" spans="2:7" ht="12.5" x14ac:dyDescent="0.25">
      <c r="B112" s="16"/>
      <c r="C112" s="16"/>
      <c r="D112" s="9"/>
      <c r="E112" s="9"/>
      <c r="F112" s="16"/>
      <c r="G112" s="9"/>
    </row>
    <row r="113" spans="2:7" ht="12.5" x14ac:dyDescent="0.25">
      <c r="B113" s="16"/>
      <c r="C113" s="16"/>
      <c r="D113" s="9"/>
      <c r="E113" s="9"/>
      <c r="F113" s="16"/>
      <c r="G113" s="9"/>
    </row>
    <row r="114" spans="2:7" ht="12.5" x14ac:dyDescent="0.25">
      <c r="B114" s="16"/>
      <c r="C114" s="16"/>
      <c r="D114" s="9"/>
      <c r="E114" s="9"/>
      <c r="F114" s="16"/>
      <c r="G114" s="9"/>
    </row>
    <row r="115" spans="2:7" ht="12.5" x14ac:dyDescent="0.25">
      <c r="B115" s="16"/>
      <c r="C115" s="16"/>
      <c r="D115" s="9"/>
      <c r="E115" s="9"/>
      <c r="F115" s="16"/>
      <c r="G115" s="9"/>
    </row>
    <row r="116" spans="2:7" ht="12.5" x14ac:dyDescent="0.25">
      <c r="B116" s="16"/>
      <c r="C116" s="16"/>
      <c r="D116" s="9"/>
      <c r="E116" s="9"/>
      <c r="F116" s="16"/>
      <c r="G116" s="9"/>
    </row>
    <row r="117" spans="2:7" ht="12.5" x14ac:dyDescent="0.25">
      <c r="B117" s="16"/>
      <c r="C117" s="16"/>
      <c r="D117" s="9"/>
      <c r="E117" s="9"/>
      <c r="F117" s="16"/>
      <c r="G117" s="9"/>
    </row>
    <row r="118" spans="2:7" ht="12.5" x14ac:dyDescent="0.25">
      <c r="B118" s="16"/>
      <c r="C118" s="16"/>
      <c r="D118" s="9"/>
      <c r="E118" s="9"/>
      <c r="F118" s="16"/>
      <c r="G118" s="9"/>
    </row>
    <row r="119" spans="2:7" ht="12.5" x14ac:dyDescent="0.25">
      <c r="B119" s="16"/>
      <c r="C119" s="16"/>
      <c r="D119" s="9"/>
      <c r="E119" s="9"/>
      <c r="F119" s="16"/>
      <c r="G119" s="9"/>
    </row>
    <row r="120" spans="2:7" ht="12.5" x14ac:dyDescent="0.25">
      <c r="B120" s="16"/>
      <c r="C120" s="16"/>
      <c r="D120" s="9"/>
      <c r="E120" s="9"/>
      <c r="F120" s="16"/>
      <c r="G120" s="9"/>
    </row>
    <row r="121" spans="2:7" ht="12.5" x14ac:dyDescent="0.25">
      <c r="B121" s="16"/>
      <c r="C121" s="16"/>
      <c r="D121" s="9"/>
      <c r="E121" s="9"/>
      <c r="F121" s="16"/>
      <c r="G121" s="9"/>
    </row>
    <row r="122" spans="2:7" ht="12.5" x14ac:dyDescent="0.25">
      <c r="B122" s="16"/>
      <c r="C122" s="16"/>
      <c r="D122" s="9"/>
      <c r="E122" s="9"/>
      <c r="F122" s="16"/>
      <c r="G122" s="9"/>
    </row>
    <row r="123" spans="2:7" ht="12.5" x14ac:dyDescent="0.25">
      <c r="B123" s="16"/>
      <c r="C123" s="16"/>
      <c r="D123" s="9"/>
      <c r="E123" s="9"/>
      <c r="F123" s="16"/>
      <c r="G123" s="9"/>
    </row>
    <row r="124" spans="2:7" ht="12.5" x14ac:dyDescent="0.25">
      <c r="B124" s="16"/>
      <c r="C124" s="16"/>
      <c r="D124" s="9"/>
      <c r="E124" s="9"/>
      <c r="F124" s="16"/>
      <c r="G124" s="9"/>
    </row>
    <row r="125" spans="2:7" ht="12.5" x14ac:dyDescent="0.25">
      <c r="B125" s="16"/>
      <c r="C125" s="16"/>
      <c r="D125" s="9"/>
      <c r="E125" s="9"/>
      <c r="F125" s="16"/>
      <c r="G125" s="9"/>
    </row>
    <row r="126" spans="2:7" ht="12.5" x14ac:dyDescent="0.25">
      <c r="B126" s="16"/>
      <c r="C126" s="16"/>
      <c r="D126" s="9"/>
      <c r="E126" s="9"/>
      <c r="F126" s="16"/>
      <c r="G126" s="9"/>
    </row>
    <row r="127" spans="2:7" ht="12.5" x14ac:dyDescent="0.25">
      <c r="B127" s="16"/>
      <c r="C127" s="16"/>
      <c r="D127" s="9"/>
      <c r="E127" s="9"/>
      <c r="F127" s="16"/>
      <c r="G127" s="9"/>
    </row>
    <row r="128" spans="2:7" ht="12.5" x14ac:dyDescent="0.25">
      <c r="B128" s="16"/>
      <c r="C128" s="16"/>
      <c r="D128" s="9"/>
      <c r="E128" s="9"/>
      <c r="F128" s="16"/>
      <c r="G128" s="9"/>
    </row>
    <row r="129" spans="2:7" ht="12.5" x14ac:dyDescent="0.25">
      <c r="B129" s="16"/>
      <c r="C129" s="16"/>
      <c r="D129" s="9"/>
      <c r="E129" s="9"/>
      <c r="F129" s="16"/>
      <c r="G129" s="9"/>
    </row>
    <row r="130" spans="2:7" ht="12.5" x14ac:dyDescent="0.25">
      <c r="B130" s="16"/>
      <c r="C130" s="16"/>
      <c r="D130" s="9"/>
      <c r="E130" s="9"/>
      <c r="F130" s="16"/>
      <c r="G130" s="9"/>
    </row>
    <row r="131" spans="2:7" ht="12.5" x14ac:dyDescent="0.25">
      <c r="B131" s="16"/>
      <c r="C131" s="16"/>
      <c r="D131" s="9"/>
      <c r="E131" s="9"/>
      <c r="F131" s="16"/>
      <c r="G131" s="9"/>
    </row>
    <row r="132" spans="2:7" ht="12.5" x14ac:dyDescent="0.25">
      <c r="B132" s="16"/>
      <c r="C132" s="16"/>
      <c r="D132" s="9"/>
      <c r="E132" s="9"/>
      <c r="F132" s="16"/>
      <c r="G132" s="9"/>
    </row>
    <row r="133" spans="2:7" ht="12.5" x14ac:dyDescent="0.25">
      <c r="B133" s="16"/>
      <c r="C133" s="16"/>
      <c r="D133" s="9"/>
      <c r="E133" s="9"/>
      <c r="F133" s="16"/>
      <c r="G133" s="9"/>
    </row>
    <row r="134" spans="2:7" ht="12.5" x14ac:dyDescent="0.25">
      <c r="B134" s="16"/>
      <c r="C134" s="16"/>
      <c r="D134" s="9"/>
      <c r="E134" s="9"/>
      <c r="F134" s="16"/>
      <c r="G134" s="9"/>
    </row>
    <row r="135" spans="2:7" ht="12.5" x14ac:dyDescent="0.25">
      <c r="B135" s="16"/>
      <c r="C135" s="16"/>
      <c r="D135" s="9"/>
      <c r="E135" s="9"/>
      <c r="F135" s="16"/>
      <c r="G135" s="9"/>
    </row>
    <row r="136" spans="2:7" ht="12.5" x14ac:dyDescent="0.25">
      <c r="B136" s="16"/>
      <c r="C136" s="16"/>
      <c r="D136" s="9"/>
      <c r="E136" s="9"/>
      <c r="F136" s="16"/>
      <c r="G136" s="9"/>
    </row>
    <row r="137" spans="2:7" ht="12.5" x14ac:dyDescent="0.25">
      <c r="B137" s="16"/>
      <c r="C137" s="16"/>
      <c r="D137" s="9"/>
      <c r="E137" s="9"/>
      <c r="F137" s="16"/>
      <c r="G137" s="9"/>
    </row>
    <row r="138" spans="2:7" ht="12.5" x14ac:dyDescent="0.25">
      <c r="B138" s="16"/>
      <c r="C138" s="16"/>
      <c r="D138" s="9"/>
      <c r="E138" s="9"/>
      <c r="F138" s="16"/>
      <c r="G138" s="9"/>
    </row>
    <row r="139" spans="2:7" ht="12.5" x14ac:dyDescent="0.25">
      <c r="B139" s="16"/>
      <c r="C139" s="16"/>
      <c r="D139" s="9"/>
      <c r="E139" s="9"/>
      <c r="F139" s="16"/>
      <c r="G139" s="9"/>
    </row>
    <row r="140" spans="2:7" ht="12.5" x14ac:dyDescent="0.25">
      <c r="B140" s="16"/>
      <c r="C140" s="16"/>
      <c r="D140" s="9"/>
      <c r="E140" s="9"/>
      <c r="F140" s="16"/>
      <c r="G140" s="9"/>
    </row>
    <row r="141" spans="2:7" ht="12.5" x14ac:dyDescent="0.25">
      <c r="B141" s="16"/>
      <c r="C141" s="16"/>
      <c r="D141" s="9"/>
      <c r="E141" s="9"/>
      <c r="F141" s="16"/>
      <c r="G141" s="9"/>
    </row>
    <row r="142" spans="2:7" ht="12.5" x14ac:dyDescent="0.25">
      <c r="B142" s="16"/>
      <c r="C142" s="16"/>
      <c r="D142" s="9"/>
      <c r="E142" s="9"/>
      <c r="F142" s="16"/>
      <c r="G142" s="9"/>
    </row>
    <row r="143" spans="2:7" ht="12.5" x14ac:dyDescent="0.25">
      <c r="B143" s="16"/>
      <c r="C143" s="16"/>
      <c r="D143" s="9"/>
      <c r="E143" s="9"/>
      <c r="F143" s="16"/>
      <c r="G143" s="9"/>
    </row>
    <row r="144" spans="2:7" ht="12.5" x14ac:dyDescent="0.25">
      <c r="B144" s="16"/>
      <c r="C144" s="16"/>
      <c r="D144" s="9"/>
      <c r="E144" s="9"/>
      <c r="F144" s="16"/>
      <c r="G144" s="9"/>
    </row>
    <row r="145" spans="2:7" ht="12.5" x14ac:dyDescent="0.25">
      <c r="B145" s="16"/>
      <c r="C145" s="16"/>
      <c r="D145" s="9"/>
      <c r="E145" s="9"/>
      <c r="F145" s="16"/>
      <c r="G145" s="9"/>
    </row>
    <row r="146" spans="2:7" ht="12.5" x14ac:dyDescent="0.25">
      <c r="B146" s="16"/>
      <c r="C146" s="16"/>
      <c r="D146" s="9"/>
      <c r="E146" s="9"/>
      <c r="F146" s="16"/>
      <c r="G146" s="9"/>
    </row>
    <row r="147" spans="2:7" ht="12.5" x14ac:dyDescent="0.25">
      <c r="B147" s="16"/>
      <c r="C147" s="16"/>
      <c r="D147" s="9"/>
      <c r="E147" s="9"/>
      <c r="F147" s="16"/>
      <c r="G147" s="9"/>
    </row>
    <row r="148" spans="2:7" ht="12.5" x14ac:dyDescent="0.25">
      <c r="B148" s="16"/>
      <c r="C148" s="16"/>
      <c r="D148" s="9"/>
      <c r="E148" s="9"/>
      <c r="F148" s="16"/>
      <c r="G148" s="9"/>
    </row>
    <row r="149" spans="2:7" ht="12.5" x14ac:dyDescent="0.25">
      <c r="B149" s="16"/>
      <c r="C149" s="16"/>
      <c r="D149" s="9"/>
      <c r="E149" s="9"/>
      <c r="F149" s="16"/>
      <c r="G149" s="9"/>
    </row>
    <row r="150" spans="2:7" ht="12.5" x14ac:dyDescent="0.25">
      <c r="B150" s="16"/>
      <c r="C150" s="16"/>
      <c r="D150" s="9"/>
      <c r="E150" s="9"/>
      <c r="F150" s="16"/>
      <c r="G15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4C2F4"/>
    <outlinePr summaryBelow="0" summaryRight="0"/>
  </sheetPr>
  <dimension ref="A1:X1001"/>
  <sheetViews>
    <sheetView workbookViewId="0">
      <selection activeCell="D15" sqref="D15"/>
    </sheetView>
  </sheetViews>
  <sheetFormatPr defaultColWidth="12.6328125" defaultRowHeight="15.75" customHeight="1" x14ac:dyDescent="0.25"/>
  <cols>
    <col min="1" max="1" width="8.08984375" customWidth="1"/>
    <col min="3" max="3" width="34.453125" customWidth="1"/>
    <col min="4" max="4" width="14.6328125" customWidth="1"/>
    <col min="5" max="5" width="45" customWidth="1"/>
  </cols>
  <sheetData>
    <row r="1" spans="1:24" ht="13" x14ac:dyDescent="0.3">
      <c r="A1" s="42" t="s">
        <v>1518</v>
      </c>
      <c r="B1" s="43" t="s">
        <v>1523</v>
      </c>
      <c r="C1" s="43" t="s">
        <v>1524</v>
      </c>
      <c r="D1" s="43" t="s">
        <v>1525</v>
      </c>
      <c r="E1" s="52" t="s">
        <v>1522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3" x14ac:dyDescent="0.3">
      <c r="A2" s="40">
        <v>1</v>
      </c>
      <c r="B2" s="40" t="s">
        <v>1526</v>
      </c>
      <c r="C2" s="34" t="s">
        <v>1527</v>
      </c>
      <c r="D2" s="45">
        <f ca="1">COUNTIF('Prodi (fix)'!F:F,B2)</f>
        <v>8</v>
      </c>
      <c r="E2" s="51" t="str">
        <f t="shared" ref="E2:E13" ca="1" si="0">CONCATENATE("('",B2,"','",C2,"','",D2,"'),")</f>
        <v>('a','Fakultas Pertanian','8'),</v>
      </c>
    </row>
    <row r="3" spans="1:24" ht="13" x14ac:dyDescent="0.3">
      <c r="A3" s="40">
        <v>2</v>
      </c>
      <c r="B3" s="40" t="s">
        <v>1528</v>
      </c>
      <c r="C3" s="34" t="s">
        <v>1529</v>
      </c>
      <c r="D3" s="45">
        <f ca="1">COUNTIF('Prodi (fix)'!F:F,B3)</f>
        <v>1</v>
      </c>
      <c r="E3" s="51" t="str">
        <f t="shared" ca="1" si="0"/>
        <v>('b','Sekolah Kedokteran Hewan dan Biomedis','1'),</v>
      </c>
    </row>
    <row r="4" spans="1:24" ht="13" x14ac:dyDescent="0.3">
      <c r="A4" s="40">
        <v>3</v>
      </c>
      <c r="B4" s="40" t="s">
        <v>1530</v>
      </c>
      <c r="C4" s="34" t="s">
        <v>1531</v>
      </c>
      <c r="D4" s="45">
        <f ca="1">COUNTIF('Prodi (fix)'!F:F,B4)</f>
        <v>7</v>
      </c>
      <c r="E4" s="51" t="str">
        <f t="shared" ca="1" si="0"/>
        <v>('c','Fakultas Perikanan dan Ilmu Kelautan','7'),</v>
      </c>
    </row>
    <row r="5" spans="1:24" ht="13" x14ac:dyDescent="0.3">
      <c r="A5" s="40">
        <v>4</v>
      </c>
      <c r="B5" s="40" t="s">
        <v>1532</v>
      </c>
      <c r="C5" s="34" t="s">
        <v>1533</v>
      </c>
      <c r="D5" s="45">
        <f ca="1">COUNTIF('Prodi (fix)'!F:F,B5)</f>
        <v>2</v>
      </c>
      <c r="E5" s="51" t="str">
        <f t="shared" ca="1" si="0"/>
        <v>('d','Fakultas Peternakan','2'),</v>
      </c>
    </row>
    <row r="6" spans="1:24" ht="13" x14ac:dyDescent="0.3">
      <c r="A6" s="40">
        <v>5</v>
      </c>
      <c r="B6" s="40" t="s">
        <v>1534</v>
      </c>
      <c r="C6" s="34" t="s">
        <v>1535</v>
      </c>
      <c r="D6" s="45">
        <f ca="1">COUNTIF('Prodi (fix)'!F:F,B6)</f>
        <v>3</v>
      </c>
      <c r="E6" s="51" t="str">
        <f t="shared" ca="1" si="0"/>
        <v>('e','Fakultas Kehutanan','3'),</v>
      </c>
    </row>
    <row r="7" spans="1:24" ht="13" x14ac:dyDescent="0.3">
      <c r="A7" s="40">
        <v>6</v>
      </c>
      <c r="B7" s="40" t="s">
        <v>1536</v>
      </c>
      <c r="C7" s="34" t="s">
        <v>1537</v>
      </c>
      <c r="D7" s="45">
        <f ca="1">COUNTIF('Prodi (fix)'!F:F,B7)</f>
        <v>6</v>
      </c>
      <c r="E7" s="51" t="str">
        <f t="shared" ca="1" si="0"/>
        <v>('f','Fakultas Teknologi Pertanian','6'),</v>
      </c>
    </row>
    <row r="8" spans="1:24" ht="13" x14ac:dyDescent="0.3">
      <c r="A8" s="40">
        <v>7</v>
      </c>
      <c r="B8" s="40" t="s">
        <v>1538</v>
      </c>
      <c r="C8" s="34" t="s">
        <v>1539</v>
      </c>
      <c r="D8" s="45">
        <f ca="1">COUNTIF('Prodi (fix)'!F:F,B8)</f>
        <v>10</v>
      </c>
      <c r="E8" s="51" t="str">
        <f t="shared" ca="1" si="0"/>
        <v>('g','Fakultas Matematika dan Ilmu Pengetahuan Alam','10'),</v>
      </c>
    </row>
    <row r="9" spans="1:24" ht="13" x14ac:dyDescent="0.3">
      <c r="A9" s="40">
        <v>8</v>
      </c>
      <c r="B9" s="40" t="s">
        <v>1540</v>
      </c>
      <c r="C9" s="34" t="s">
        <v>1541</v>
      </c>
      <c r="D9" s="45">
        <f ca="1">COUNTIF('Prodi (fix)'!F:F,B9)</f>
        <v>8</v>
      </c>
      <c r="E9" s="51" t="str">
        <f t="shared" ca="1" si="0"/>
        <v>('h','Fakultas Ekonomi dan Manajemen','8'),</v>
      </c>
    </row>
    <row r="10" spans="1:24" ht="13" x14ac:dyDescent="0.3">
      <c r="A10" s="40">
        <v>9</v>
      </c>
      <c r="B10" s="40" t="s">
        <v>1542</v>
      </c>
      <c r="C10" s="34" t="s">
        <v>1543</v>
      </c>
      <c r="D10" s="45">
        <f ca="1">COUNTIF('Prodi (fix)'!F:F,B10)</f>
        <v>4</v>
      </c>
      <c r="E10" s="51" t="str">
        <f t="shared" ca="1" si="0"/>
        <v>('i','Fakultas Ekologi Manusia','4'),</v>
      </c>
    </row>
    <row r="11" spans="1:24" ht="13" x14ac:dyDescent="0.3">
      <c r="A11" s="40">
        <v>10</v>
      </c>
      <c r="B11" s="40" t="s">
        <v>1544</v>
      </c>
      <c r="C11" s="34" t="s">
        <v>1545</v>
      </c>
      <c r="D11" s="45">
        <f ca="1">COUNTIF('Prodi (fix)'!F:F,B11)</f>
        <v>1</v>
      </c>
      <c r="E11" s="51" t="str">
        <f t="shared" ca="1" si="0"/>
        <v>('k','Sekolah Bisnis','1'),</v>
      </c>
    </row>
    <row r="12" spans="1:24" ht="13" x14ac:dyDescent="0.3">
      <c r="A12" s="40">
        <v>11</v>
      </c>
      <c r="B12" s="40" t="s">
        <v>1546</v>
      </c>
      <c r="C12" s="34" t="s">
        <v>1547</v>
      </c>
      <c r="D12" s="45">
        <f ca="1">COUNTIF('Prodi (fix)'!F:F,B12)</f>
        <v>4</v>
      </c>
      <c r="E12" s="51" t="str">
        <f t="shared" ca="1" si="0"/>
        <v>('p','Multidisiplin','4'),</v>
      </c>
    </row>
    <row r="13" spans="1:24" ht="13" x14ac:dyDescent="0.3">
      <c r="A13" s="40">
        <v>12</v>
      </c>
      <c r="B13" s="40" t="s">
        <v>1548</v>
      </c>
      <c r="C13" s="34" t="s">
        <v>1549</v>
      </c>
      <c r="D13" s="45">
        <f ca="1">COUNTIF('Prodi (fix)'!F:F,B13)</f>
        <v>0</v>
      </c>
      <c r="E13" s="51" t="str">
        <f t="shared" ca="1" si="0"/>
        <v>('l','Lainnya','0'),</v>
      </c>
    </row>
    <row r="14" spans="1:24" ht="13" x14ac:dyDescent="0.3">
      <c r="B14" s="18"/>
      <c r="C14" s="19"/>
      <c r="D14" s="47"/>
      <c r="E14" s="46"/>
    </row>
    <row r="15" spans="1:24" ht="13" x14ac:dyDescent="0.3">
      <c r="B15" s="18"/>
      <c r="C15" s="19"/>
      <c r="D15" s="47"/>
      <c r="E15" s="46"/>
    </row>
    <row r="16" spans="1:24" ht="15.75" customHeight="1" x14ac:dyDescent="0.3">
      <c r="C16" s="20"/>
      <c r="D16" s="47"/>
      <c r="E16" s="48"/>
    </row>
    <row r="17" spans="3:4" ht="15.75" customHeight="1" x14ac:dyDescent="0.25">
      <c r="C17" s="20"/>
      <c r="D17" s="16"/>
    </row>
    <row r="18" spans="3:4" ht="15.75" customHeight="1" x14ac:dyDescent="0.25">
      <c r="C18" s="20"/>
      <c r="D18" s="16"/>
    </row>
    <row r="19" spans="3:4" ht="15.75" customHeight="1" x14ac:dyDescent="0.25">
      <c r="C19" s="20"/>
      <c r="D19" s="16"/>
    </row>
    <row r="20" spans="3:4" ht="12.5" x14ac:dyDescent="0.25">
      <c r="C20" s="20"/>
      <c r="D20" s="16"/>
    </row>
    <row r="21" spans="3:4" ht="12.5" x14ac:dyDescent="0.25">
      <c r="C21" s="20"/>
      <c r="D21" s="16"/>
    </row>
    <row r="22" spans="3:4" ht="12.5" x14ac:dyDescent="0.25">
      <c r="C22" s="20"/>
      <c r="D22" s="16"/>
    </row>
    <row r="23" spans="3:4" ht="12.5" x14ac:dyDescent="0.25">
      <c r="C23" s="20"/>
      <c r="D23" s="16"/>
    </row>
    <row r="24" spans="3:4" ht="12.5" x14ac:dyDescent="0.25">
      <c r="C24" s="20"/>
      <c r="D24" s="16"/>
    </row>
    <row r="25" spans="3:4" ht="12.5" x14ac:dyDescent="0.25">
      <c r="C25" s="20"/>
      <c r="D25" s="16"/>
    </row>
    <row r="26" spans="3:4" ht="12.5" x14ac:dyDescent="0.25">
      <c r="C26" s="20"/>
      <c r="D26" s="16"/>
    </row>
    <row r="27" spans="3:4" ht="12.5" x14ac:dyDescent="0.25">
      <c r="C27" s="20"/>
      <c r="D27" s="16"/>
    </row>
    <row r="28" spans="3:4" ht="12.5" x14ac:dyDescent="0.25">
      <c r="C28" s="20"/>
      <c r="D28" s="16"/>
    </row>
    <row r="29" spans="3:4" ht="12.5" x14ac:dyDescent="0.25">
      <c r="C29" s="20"/>
      <c r="D29" s="16"/>
    </row>
    <row r="30" spans="3:4" ht="12.5" x14ac:dyDescent="0.25">
      <c r="C30" s="20"/>
      <c r="D30" s="16"/>
    </row>
    <row r="31" spans="3:4" ht="12.5" x14ac:dyDescent="0.25">
      <c r="C31" s="20"/>
      <c r="D31" s="16"/>
    </row>
    <row r="32" spans="3:4" ht="12.5" x14ac:dyDescent="0.25">
      <c r="C32" s="20"/>
      <c r="D32" s="16"/>
    </row>
    <row r="33" spans="3:4" ht="12.5" x14ac:dyDescent="0.25">
      <c r="C33" s="20"/>
      <c r="D33" s="16"/>
    </row>
    <row r="34" spans="3:4" ht="12.5" x14ac:dyDescent="0.25">
      <c r="C34" s="20"/>
      <c r="D34" s="16"/>
    </row>
    <row r="35" spans="3:4" ht="12.5" x14ac:dyDescent="0.25">
      <c r="C35" s="20"/>
      <c r="D35" s="16"/>
    </row>
    <row r="36" spans="3:4" ht="12.5" x14ac:dyDescent="0.25">
      <c r="C36" s="20"/>
      <c r="D36" s="16"/>
    </row>
    <row r="37" spans="3:4" ht="12.5" x14ac:dyDescent="0.25">
      <c r="C37" s="20"/>
      <c r="D37" s="16"/>
    </row>
    <row r="38" spans="3:4" ht="12.5" x14ac:dyDescent="0.25">
      <c r="C38" s="20"/>
      <c r="D38" s="16"/>
    </row>
    <row r="39" spans="3:4" ht="12.5" x14ac:dyDescent="0.25">
      <c r="C39" s="20"/>
      <c r="D39" s="16"/>
    </row>
    <row r="40" spans="3:4" ht="12.5" x14ac:dyDescent="0.25">
      <c r="C40" s="20"/>
      <c r="D40" s="16"/>
    </row>
    <row r="41" spans="3:4" ht="12.5" x14ac:dyDescent="0.25">
      <c r="C41" s="20"/>
      <c r="D41" s="16"/>
    </row>
    <row r="42" spans="3:4" ht="12.5" x14ac:dyDescent="0.25">
      <c r="C42" s="20"/>
      <c r="D42" s="16"/>
    </row>
    <row r="43" spans="3:4" ht="12.5" x14ac:dyDescent="0.25">
      <c r="C43" s="20"/>
      <c r="D43" s="16"/>
    </row>
    <row r="44" spans="3:4" ht="12.5" x14ac:dyDescent="0.25">
      <c r="C44" s="20"/>
      <c r="D44" s="16"/>
    </row>
    <row r="45" spans="3:4" ht="12.5" x14ac:dyDescent="0.25">
      <c r="C45" s="20"/>
      <c r="D45" s="16"/>
    </row>
    <row r="46" spans="3:4" ht="12.5" x14ac:dyDescent="0.25">
      <c r="C46" s="20"/>
      <c r="D46" s="16"/>
    </row>
    <row r="47" spans="3:4" ht="12.5" x14ac:dyDescent="0.25">
      <c r="C47" s="20"/>
      <c r="D47" s="16"/>
    </row>
    <row r="48" spans="3:4" ht="12.5" x14ac:dyDescent="0.25">
      <c r="C48" s="20"/>
      <c r="D48" s="16"/>
    </row>
    <row r="49" spans="3:4" ht="12.5" x14ac:dyDescent="0.25">
      <c r="C49" s="20"/>
      <c r="D49" s="16"/>
    </row>
    <row r="50" spans="3:4" ht="12.5" x14ac:dyDescent="0.25">
      <c r="C50" s="20"/>
      <c r="D50" s="16"/>
    </row>
    <row r="51" spans="3:4" ht="12.5" x14ac:dyDescent="0.25">
      <c r="C51" s="20"/>
      <c r="D51" s="16"/>
    </row>
    <row r="52" spans="3:4" ht="12.5" x14ac:dyDescent="0.25">
      <c r="C52" s="20"/>
      <c r="D52" s="16"/>
    </row>
    <row r="53" spans="3:4" ht="12.5" x14ac:dyDescent="0.25">
      <c r="C53" s="20"/>
      <c r="D53" s="16"/>
    </row>
    <row r="54" spans="3:4" ht="12.5" x14ac:dyDescent="0.25">
      <c r="C54" s="20"/>
      <c r="D54" s="16"/>
    </row>
    <row r="55" spans="3:4" ht="12.5" x14ac:dyDescent="0.25">
      <c r="C55" s="20"/>
      <c r="D55" s="16"/>
    </row>
    <row r="56" spans="3:4" ht="12.5" x14ac:dyDescent="0.25">
      <c r="C56" s="20"/>
      <c r="D56" s="16"/>
    </row>
    <row r="57" spans="3:4" ht="12.5" x14ac:dyDescent="0.25">
      <c r="C57" s="20"/>
      <c r="D57" s="16"/>
    </row>
    <row r="58" spans="3:4" ht="12.5" x14ac:dyDescent="0.25">
      <c r="C58" s="20"/>
      <c r="D58" s="16"/>
    </row>
    <row r="59" spans="3:4" ht="12.5" x14ac:dyDescent="0.25">
      <c r="C59" s="20"/>
      <c r="D59" s="16"/>
    </row>
    <row r="60" spans="3:4" ht="12.5" x14ac:dyDescent="0.25">
      <c r="C60" s="20"/>
      <c r="D60" s="16"/>
    </row>
    <row r="61" spans="3:4" ht="12.5" x14ac:dyDescent="0.25">
      <c r="C61" s="20"/>
      <c r="D61" s="16"/>
    </row>
    <row r="62" spans="3:4" ht="12.5" x14ac:dyDescent="0.25">
      <c r="C62" s="20"/>
      <c r="D62" s="16"/>
    </row>
    <row r="63" spans="3:4" ht="12.5" x14ac:dyDescent="0.25">
      <c r="C63" s="20"/>
      <c r="D63" s="16"/>
    </row>
    <row r="64" spans="3:4" ht="12.5" x14ac:dyDescent="0.25">
      <c r="C64" s="20"/>
      <c r="D64" s="16"/>
    </row>
    <row r="65" spans="3:4" ht="12.5" x14ac:dyDescent="0.25">
      <c r="C65" s="20"/>
      <c r="D65" s="16"/>
    </row>
    <row r="66" spans="3:4" ht="12.5" x14ac:dyDescent="0.25">
      <c r="C66" s="20"/>
      <c r="D66" s="16"/>
    </row>
    <row r="67" spans="3:4" ht="12.5" x14ac:dyDescent="0.25">
      <c r="C67" s="20"/>
      <c r="D67" s="16"/>
    </row>
    <row r="68" spans="3:4" ht="12.5" x14ac:dyDescent="0.25">
      <c r="C68" s="20"/>
      <c r="D68" s="16"/>
    </row>
    <row r="69" spans="3:4" ht="12.5" x14ac:dyDescent="0.25">
      <c r="C69" s="20"/>
      <c r="D69" s="16"/>
    </row>
    <row r="70" spans="3:4" ht="12.5" x14ac:dyDescent="0.25">
      <c r="C70" s="20"/>
      <c r="D70" s="16"/>
    </row>
    <row r="71" spans="3:4" ht="12.5" x14ac:dyDescent="0.25">
      <c r="C71" s="20"/>
      <c r="D71" s="16"/>
    </row>
    <row r="72" spans="3:4" ht="12.5" x14ac:dyDescent="0.25">
      <c r="C72" s="20"/>
      <c r="D72" s="16"/>
    </row>
    <row r="73" spans="3:4" ht="12.5" x14ac:dyDescent="0.25">
      <c r="C73" s="20"/>
      <c r="D73" s="16"/>
    </row>
    <row r="74" spans="3:4" ht="12.5" x14ac:dyDescent="0.25">
      <c r="C74" s="20"/>
      <c r="D74" s="16"/>
    </row>
    <row r="75" spans="3:4" ht="12.5" x14ac:dyDescent="0.25">
      <c r="C75" s="20"/>
      <c r="D75" s="16"/>
    </row>
    <row r="76" spans="3:4" ht="12.5" x14ac:dyDescent="0.25">
      <c r="C76" s="20"/>
      <c r="D76" s="16"/>
    </row>
    <row r="77" spans="3:4" ht="12.5" x14ac:dyDescent="0.25">
      <c r="C77" s="20"/>
      <c r="D77" s="16"/>
    </row>
    <row r="78" spans="3:4" ht="12.5" x14ac:dyDescent="0.25">
      <c r="C78" s="20"/>
      <c r="D78" s="16"/>
    </row>
    <row r="79" spans="3:4" ht="12.5" x14ac:dyDescent="0.25">
      <c r="C79" s="20"/>
      <c r="D79" s="16"/>
    </row>
    <row r="80" spans="3:4" ht="12.5" x14ac:dyDescent="0.25">
      <c r="C80" s="20"/>
      <c r="D80" s="16"/>
    </row>
    <row r="81" spans="3:4" ht="12.5" x14ac:dyDescent="0.25">
      <c r="C81" s="20"/>
      <c r="D81" s="16"/>
    </row>
    <row r="82" spans="3:4" ht="12.5" x14ac:dyDescent="0.25">
      <c r="C82" s="20"/>
      <c r="D82" s="16"/>
    </row>
    <row r="83" spans="3:4" ht="12.5" x14ac:dyDescent="0.25">
      <c r="C83" s="20"/>
      <c r="D83" s="16"/>
    </row>
    <row r="84" spans="3:4" ht="12.5" x14ac:dyDescent="0.25">
      <c r="C84" s="20"/>
      <c r="D84" s="16"/>
    </row>
    <row r="85" spans="3:4" ht="12.5" x14ac:dyDescent="0.25">
      <c r="C85" s="20"/>
      <c r="D85" s="16"/>
    </row>
    <row r="86" spans="3:4" ht="12.5" x14ac:dyDescent="0.25">
      <c r="C86" s="20"/>
      <c r="D86" s="16"/>
    </row>
    <row r="87" spans="3:4" ht="12.5" x14ac:dyDescent="0.25">
      <c r="C87" s="20"/>
      <c r="D87" s="16"/>
    </row>
    <row r="88" spans="3:4" ht="12.5" x14ac:dyDescent="0.25">
      <c r="C88" s="20"/>
      <c r="D88" s="16"/>
    </row>
    <row r="89" spans="3:4" ht="12.5" x14ac:dyDescent="0.25">
      <c r="C89" s="20"/>
      <c r="D89" s="16"/>
    </row>
    <row r="90" spans="3:4" ht="12.5" x14ac:dyDescent="0.25">
      <c r="C90" s="20"/>
      <c r="D90" s="16"/>
    </row>
    <row r="91" spans="3:4" ht="12.5" x14ac:dyDescent="0.25">
      <c r="C91" s="20"/>
      <c r="D91" s="16"/>
    </row>
    <row r="92" spans="3:4" ht="12.5" x14ac:dyDescent="0.25">
      <c r="C92" s="20"/>
      <c r="D92" s="16"/>
    </row>
    <row r="93" spans="3:4" ht="12.5" x14ac:dyDescent="0.25">
      <c r="C93" s="20"/>
      <c r="D93" s="16"/>
    </row>
    <row r="94" spans="3:4" ht="12.5" x14ac:dyDescent="0.25">
      <c r="C94" s="20"/>
      <c r="D94" s="16"/>
    </row>
    <row r="95" spans="3:4" ht="12.5" x14ac:dyDescent="0.25">
      <c r="C95" s="20"/>
      <c r="D95" s="16"/>
    </row>
    <row r="96" spans="3:4" ht="12.5" x14ac:dyDescent="0.25">
      <c r="C96" s="20"/>
      <c r="D96" s="16"/>
    </row>
    <row r="97" spans="3:4" ht="12.5" x14ac:dyDescent="0.25">
      <c r="C97" s="20"/>
      <c r="D97" s="16"/>
    </row>
    <row r="98" spans="3:4" ht="12.5" x14ac:dyDescent="0.25">
      <c r="C98" s="20"/>
      <c r="D98" s="16"/>
    </row>
    <row r="99" spans="3:4" ht="12.5" x14ac:dyDescent="0.25">
      <c r="C99" s="20"/>
      <c r="D99" s="16"/>
    </row>
    <row r="100" spans="3:4" ht="12.5" x14ac:dyDescent="0.25">
      <c r="C100" s="20"/>
      <c r="D100" s="16"/>
    </row>
    <row r="101" spans="3:4" ht="12.5" x14ac:dyDescent="0.25">
      <c r="C101" s="20"/>
      <c r="D101" s="16"/>
    </row>
    <row r="102" spans="3:4" ht="12.5" x14ac:dyDescent="0.25">
      <c r="C102" s="20"/>
      <c r="D102" s="16"/>
    </row>
    <row r="103" spans="3:4" ht="12.5" x14ac:dyDescent="0.25">
      <c r="C103" s="20"/>
      <c r="D103" s="16"/>
    </row>
    <row r="104" spans="3:4" ht="12.5" x14ac:dyDescent="0.25">
      <c r="C104" s="20"/>
      <c r="D104" s="16"/>
    </row>
    <row r="105" spans="3:4" ht="12.5" x14ac:dyDescent="0.25">
      <c r="C105" s="20"/>
      <c r="D105" s="16"/>
    </row>
    <row r="106" spans="3:4" ht="12.5" x14ac:dyDescent="0.25">
      <c r="C106" s="20"/>
      <c r="D106" s="16"/>
    </row>
    <row r="107" spans="3:4" ht="12.5" x14ac:dyDescent="0.25">
      <c r="C107" s="20"/>
      <c r="D107" s="16"/>
    </row>
    <row r="108" spans="3:4" ht="12.5" x14ac:dyDescent="0.25">
      <c r="C108" s="20"/>
      <c r="D108" s="16"/>
    </row>
    <row r="109" spans="3:4" ht="12.5" x14ac:dyDescent="0.25">
      <c r="C109" s="20"/>
      <c r="D109" s="16"/>
    </row>
    <row r="110" spans="3:4" ht="12.5" x14ac:dyDescent="0.25">
      <c r="C110" s="20"/>
      <c r="D110" s="16"/>
    </row>
    <row r="111" spans="3:4" ht="12.5" x14ac:dyDescent="0.25">
      <c r="C111" s="20"/>
      <c r="D111" s="16"/>
    </row>
    <row r="112" spans="3:4" ht="12.5" x14ac:dyDescent="0.25">
      <c r="C112" s="20"/>
      <c r="D112" s="16"/>
    </row>
    <row r="113" spans="3:4" ht="12.5" x14ac:dyDescent="0.25">
      <c r="C113" s="20"/>
      <c r="D113" s="16"/>
    </row>
    <row r="114" spans="3:4" ht="12.5" x14ac:dyDescent="0.25">
      <c r="C114" s="20"/>
      <c r="D114" s="16"/>
    </row>
    <row r="115" spans="3:4" ht="12.5" x14ac:dyDescent="0.25">
      <c r="C115" s="20"/>
      <c r="D115" s="16"/>
    </row>
    <row r="116" spans="3:4" ht="12.5" x14ac:dyDescent="0.25">
      <c r="C116" s="20"/>
      <c r="D116" s="16"/>
    </row>
    <row r="117" spans="3:4" ht="12.5" x14ac:dyDescent="0.25">
      <c r="C117" s="20"/>
      <c r="D117" s="16"/>
    </row>
    <row r="118" spans="3:4" ht="12.5" x14ac:dyDescent="0.25">
      <c r="C118" s="20"/>
      <c r="D118" s="16"/>
    </row>
    <row r="119" spans="3:4" ht="12.5" x14ac:dyDescent="0.25">
      <c r="C119" s="20"/>
      <c r="D119" s="16"/>
    </row>
    <row r="120" spans="3:4" ht="12.5" x14ac:dyDescent="0.25">
      <c r="C120" s="20"/>
      <c r="D120" s="16"/>
    </row>
    <row r="121" spans="3:4" ht="12.5" x14ac:dyDescent="0.25">
      <c r="C121" s="20"/>
      <c r="D121" s="16"/>
    </row>
    <row r="122" spans="3:4" ht="12.5" x14ac:dyDescent="0.25">
      <c r="C122" s="20"/>
      <c r="D122" s="16"/>
    </row>
    <row r="123" spans="3:4" ht="12.5" x14ac:dyDescent="0.25">
      <c r="C123" s="20"/>
      <c r="D123" s="16"/>
    </row>
    <row r="124" spans="3:4" ht="12.5" x14ac:dyDescent="0.25">
      <c r="C124" s="20"/>
      <c r="D124" s="16"/>
    </row>
    <row r="125" spans="3:4" ht="12.5" x14ac:dyDescent="0.25">
      <c r="C125" s="20"/>
      <c r="D125" s="16"/>
    </row>
    <row r="126" spans="3:4" ht="12.5" x14ac:dyDescent="0.25">
      <c r="C126" s="20"/>
      <c r="D126" s="16"/>
    </row>
    <row r="127" spans="3:4" ht="12.5" x14ac:dyDescent="0.25">
      <c r="C127" s="20"/>
      <c r="D127" s="16"/>
    </row>
    <row r="128" spans="3:4" ht="12.5" x14ac:dyDescent="0.25">
      <c r="C128" s="20"/>
      <c r="D128" s="16"/>
    </row>
    <row r="129" spans="3:4" ht="12.5" x14ac:dyDescent="0.25">
      <c r="C129" s="20"/>
      <c r="D129" s="16"/>
    </row>
    <row r="130" spans="3:4" ht="12.5" x14ac:dyDescent="0.25">
      <c r="C130" s="20"/>
      <c r="D130" s="16"/>
    </row>
    <row r="131" spans="3:4" ht="12.5" x14ac:dyDescent="0.25">
      <c r="C131" s="20"/>
      <c r="D131" s="16"/>
    </row>
    <row r="132" spans="3:4" ht="12.5" x14ac:dyDescent="0.25">
      <c r="C132" s="20"/>
      <c r="D132" s="16"/>
    </row>
    <row r="133" spans="3:4" ht="12.5" x14ac:dyDescent="0.25">
      <c r="C133" s="20"/>
      <c r="D133" s="16"/>
    </row>
    <row r="134" spans="3:4" ht="12.5" x14ac:dyDescent="0.25">
      <c r="C134" s="20"/>
      <c r="D134" s="16"/>
    </row>
    <row r="135" spans="3:4" ht="12.5" x14ac:dyDescent="0.25">
      <c r="C135" s="20"/>
      <c r="D135" s="16"/>
    </row>
    <row r="136" spans="3:4" ht="12.5" x14ac:dyDescent="0.25">
      <c r="C136" s="20"/>
      <c r="D136" s="16"/>
    </row>
    <row r="137" spans="3:4" ht="12.5" x14ac:dyDescent="0.25">
      <c r="C137" s="20"/>
      <c r="D137" s="16"/>
    </row>
    <row r="138" spans="3:4" ht="12.5" x14ac:dyDescent="0.25">
      <c r="C138" s="20"/>
      <c r="D138" s="16"/>
    </row>
    <row r="139" spans="3:4" ht="12.5" x14ac:dyDescent="0.25">
      <c r="C139" s="20"/>
      <c r="D139" s="16"/>
    </row>
    <row r="140" spans="3:4" ht="12.5" x14ac:dyDescent="0.25">
      <c r="C140" s="20"/>
      <c r="D140" s="16"/>
    </row>
    <row r="141" spans="3:4" ht="12.5" x14ac:dyDescent="0.25">
      <c r="C141" s="20"/>
      <c r="D141" s="16"/>
    </row>
    <row r="142" spans="3:4" ht="12.5" x14ac:dyDescent="0.25">
      <c r="C142" s="20"/>
      <c r="D142" s="16"/>
    </row>
    <row r="143" spans="3:4" ht="12.5" x14ac:dyDescent="0.25">
      <c r="C143" s="20"/>
      <c r="D143" s="16"/>
    </row>
    <row r="144" spans="3:4" ht="12.5" x14ac:dyDescent="0.25">
      <c r="C144" s="20"/>
      <c r="D144" s="16"/>
    </row>
    <row r="145" spans="3:4" ht="12.5" x14ac:dyDescent="0.25">
      <c r="C145" s="20"/>
      <c r="D145" s="16"/>
    </row>
    <row r="146" spans="3:4" ht="12.5" x14ac:dyDescent="0.25">
      <c r="C146" s="20"/>
      <c r="D146" s="16"/>
    </row>
    <row r="147" spans="3:4" ht="12.5" x14ac:dyDescent="0.25">
      <c r="C147" s="20"/>
      <c r="D147" s="16"/>
    </row>
    <row r="148" spans="3:4" ht="12.5" x14ac:dyDescent="0.25">
      <c r="C148" s="20"/>
      <c r="D148" s="16"/>
    </row>
    <row r="149" spans="3:4" ht="12.5" x14ac:dyDescent="0.25">
      <c r="C149" s="20"/>
      <c r="D149" s="16"/>
    </row>
    <row r="150" spans="3:4" ht="12.5" x14ac:dyDescent="0.25">
      <c r="C150" s="20"/>
      <c r="D150" s="16"/>
    </row>
    <row r="151" spans="3:4" ht="12.5" x14ac:dyDescent="0.25">
      <c r="C151" s="20"/>
      <c r="D151" s="16"/>
    </row>
    <row r="152" spans="3:4" ht="12.5" x14ac:dyDescent="0.25">
      <c r="C152" s="20"/>
      <c r="D152" s="16"/>
    </row>
    <row r="153" spans="3:4" ht="12.5" x14ac:dyDescent="0.25">
      <c r="C153" s="20"/>
      <c r="D153" s="16"/>
    </row>
    <row r="154" spans="3:4" ht="12.5" x14ac:dyDescent="0.25">
      <c r="C154" s="20"/>
      <c r="D154" s="16"/>
    </row>
    <row r="155" spans="3:4" ht="12.5" x14ac:dyDescent="0.25">
      <c r="C155" s="20"/>
      <c r="D155" s="16"/>
    </row>
    <row r="156" spans="3:4" ht="12.5" x14ac:dyDescent="0.25">
      <c r="C156" s="20"/>
      <c r="D156" s="16"/>
    </row>
    <row r="157" spans="3:4" ht="12.5" x14ac:dyDescent="0.25">
      <c r="C157" s="20"/>
      <c r="D157" s="16"/>
    </row>
    <row r="158" spans="3:4" ht="12.5" x14ac:dyDescent="0.25">
      <c r="C158" s="20"/>
      <c r="D158" s="16"/>
    </row>
    <row r="159" spans="3:4" ht="12.5" x14ac:dyDescent="0.25">
      <c r="C159" s="20"/>
      <c r="D159" s="16"/>
    </row>
    <row r="160" spans="3:4" ht="12.5" x14ac:dyDescent="0.25">
      <c r="C160" s="20"/>
      <c r="D160" s="16"/>
    </row>
    <row r="161" spans="3:4" ht="12.5" x14ac:dyDescent="0.25">
      <c r="C161" s="20"/>
      <c r="D161" s="16"/>
    </row>
    <row r="162" spans="3:4" ht="12.5" x14ac:dyDescent="0.25">
      <c r="C162" s="20"/>
      <c r="D162" s="16"/>
    </row>
    <row r="163" spans="3:4" ht="12.5" x14ac:dyDescent="0.25">
      <c r="C163" s="20"/>
      <c r="D163" s="16"/>
    </row>
    <row r="164" spans="3:4" ht="12.5" x14ac:dyDescent="0.25">
      <c r="C164" s="20"/>
      <c r="D164" s="16"/>
    </row>
    <row r="165" spans="3:4" ht="12.5" x14ac:dyDescent="0.25">
      <c r="C165" s="20"/>
      <c r="D165" s="16"/>
    </row>
    <row r="166" spans="3:4" ht="12.5" x14ac:dyDescent="0.25">
      <c r="C166" s="20"/>
      <c r="D166" s="16"/>
    </row>
    <row r="167" spans="3:4" ht="12.5" x14ac:dyDescent="0.25">
      <c r="C167" s="20"/>
      <c r="D167" s="16"/>
    </row>
    <row r="168" spans="3:4" ht="12.5" x14ac:dyDescent="0.25">
      <c r="C168" s="20"/>
      <c r="D168" s="16"/>
    </row>
    <row r="169" spans="3:4" ht="12.5" x14ac:dyDescent="0.25">
      <c r="C169" s="20"/>
      <c r="D169" s="16"/>
    </row>
    <row r="170" spans="3:4" ht="12.5" x14ac:dyDescent="0.25">
      <c r="C170" s="20"/>
      <c r="D170" s="16"/>
    </row>
    <row r="171" spans="3:4" ht="12.5" x14ac:dyDescent="0.25">
      <c r="C171" s="20"/>
      <c r="D171" s="16"/>
    </row>
    <row r="172" spans="3:4" ht="12.5" x14ac:dyDescent="0.25">
      <c r="C172" s="20"/>
      <c r="D172" s="16"/>
    </row>
    <row r="173" spans="3:4" ht="12.5" x14ac:dyDescent="0.25">
      <c r="C173" s="20"/>
      <c r="D173" s="16"/>
    </row>
    <row r="174" spans="3:4" ht="12.5" x14ac:dyDescent="0.25">
      <c r="C174" s="20"/>
      <c r="D174" s="16"/>
    </row>
    <row r="175" spans="3:4" ht="12.5" x14ac:dyDescent="0.25">
      <c r="C175" s="20"/>
      <c r="D175" s="16"/>
    </row>
    <row r="176" spans="3:4" ht="12.5" x14ac:dyDescent="0.25">
      <c r="C176" s="20"/>
      <c r="D176" s="16"/>
    </row>
    <row r="177" spans="3:4" ht="12.5" x14ac:dyDescent="0.25">
      <c r="C177" s="20"/>
      <c r="D177" s="16"/>
    </row>
    <row r="178" spans="3:4" ht="12.5" x14ac:dyDescent="0.25">
      <c r="C178" s="20"/>
      <c r="D178" s="16"/>
    </row>
    <row r="179" spans="3:4" ht="12.5" x14ac:dyDescent="0.25">
      <c r="C179" s="20"/>
      <c r="D179" s="16"/>
    </row>
    <row r="180" spans="3:4" ht="12.5" x14ac:dyDescent="0.25">
      <c r="C180" s="20"/>
      <c r="D180" s="16"/>
    </row>
    <row r="181" spans="3:4" ht="12.5" x14ac:dyDescent="0.25">
      <c r="C181" s="20"/>
      <c r="D181" s="16"/>
    </row>
    <row r="182" spans="3:4" ht="12.5" x14ac:dyDescent="0.25">
      <c r="C182" s="20"/>
      <c r="D182" s="16"/>
    </row>
    <row r="183" spans="3:4" ht="12.5" x14ac:dyDescent="0.25">
      <c r="C183" s="20"/>
      <c r="D183" s="16"/>
    </row>
    <row r="184" spans="3:4" ht="12.5" x14ac:dyDescent="0.25">
      <c r="C184" s="20"/>
      <c r="D184" s="16"/>
    </row>
    <row r="185" spans="3:4" ht="12.5" x14ac:dyDescent="0.25">
      <c r="C185" s="20"/>
      <c r="D185" s="16"/>
    </row>
    <row r="186" spans="3:4" ht="12.5" x14ac:dyDescent="0.25">
      <c r="C186" s="20"/>
      <c r="D186" s="16"/>
    </row>
    <row r="187" spans="3:4" ht="12.5" x14ac:dyDescent="0.25">
      <c r="C187" s="20"/>
      <c r="D187" s="16"/>
    </row>
    <row r="188" spans="3:4" ht="12.5" x14ac:dyDescent="0.25">
      <c r="C188" s="20"/>
      <c r="D188" s="16"/>
    </row>
    <row r="189" spans="3:4" ht="12.5" x14ac:dyDescent="0.25">
      <c r="C189" s="20"/>
      <c r="D189" s="16"/>
    </row>
    <row r="190" spans="3:4" ht="12.5" x14ac:dyDescent="0.25">
      <c r="C190" s="20"/>
      <c r="D190" s="16"/>
    </row>
    <row r="191" spans="3:4" ht="12.5" x14ac:dyDescent="0.25">
      <c r="C191" s="20"/>
      <c r="D191" s="16"/>
    </row>
    <row r="192" spans="3:4" ht="12.5" x14ac:dyDescent="0.25">
      <c r="C192" s="20"/>
      <c r="D192" s="16"/>
    </row>
    <row r="193" spans="3:4" ht="12.5" x14ac:dyDescent="0.25">
      <c r="C193" s="20"/>
      <c r="D193" s="16"/>
    </row>
    <row r="194" spans="3:4" ht="12.5" x14ac:dyDescent="0.25">
      <c r="C194" s="20"/>
      <c r="D194" s="16"/>
    </row>
    <row r="195" spans="3:4" ht="12.5" x14ac:dyDescent="0.25">
      <c r="C195" s="20"/>
      <c r="D195" s="16"/>
    </row>
    <row r="196" spans="3:4" ht="12.5" x14ac:dyDescent="0.25">
      <c r="C196" s="20"/>
      <c r="D196" s="16"/>
    </row>
    <row r="197" spans="3:4" ht="12.5" x14ac:dyDescent="0.25">
      <c r="C197" s="20"/>
      <c r="D197" s="16"/>
    </row>
    <row r="198" spans="3:4" ht="12.5" x14ac:dyDescent="0.25">
      <c r="C198" s="20"/>
      <c r="D198" s="16"/>
    </row>
    <row r="199" spans="3:4" ht="12.5" x14ac:dyDescent="0.25">
      <c r="C199" s="20"/>
      <c r="D199" s="16"/>
    </row>
    <row r="200" spans="3:4" ht="12.5" x14ac:dyDescent="0.25">
      <c r="C200" s="20"/>
      <c r="D200" s="16"/>
    </row>
    <row r="201" spans="3:4" ht="12.5" x14ac:dyDescent="0.25">
      <c r="C201" s="20"/>
      <c r="D201" s="16"/>
    </row>
    <row r="202" spans="3:4" ht="12.5" x14ac:dyDescent="0.25">
      <c r="C202" s="20"/>
      <c r="D202" s="16"/>
    </row>
    <row r="203" spans="3:4" ht="12.5" x14ac:dyDescent="0.25">
      <c r="C203" s="20"/>
      <c r="D203" s="16"/>
    </row>
    <row r="204" spans="3:4" ht="12.5" x14ac:dyDescent="0.25">
      <c r="C204" s="20"/>
      <c r="D204" s="16"/>
    </row>
    <row r="205" spans="3:4" ht="12.5" x14ac:dyDescent="0.25">
      <c r="C205" s="20"/>
      <c r="D205" s="16"/>
    </row>
    <row r="206" spans="3:4" ht="12.5" x14ac:dyDescent="0.25">
      <c r="C206" s="20"/>
      <c r="D206" s="16"/>
    </row>
    <row r="207" spans="3:4" ht="12.5" x14ac:dyDescent="0.25">
      <c r="C207" s="20"/>
      <c r="D207" s="16"/>
    </row>
    <row r="208" spans="3:4" ht="12.5" x14ac:dyDescent="0.25">
      <c r="C208" s="20"/>
      <c r="D208" s="16"/>
    </row>
    <row r="209" spans="3:4" ht="12.5" x14ac:dyDescent="0.25">
      <c r="C209" s="20"/>
      <c r="D209" s="16"/>
    </row>
    <row r="210" spans="3:4" ht="12.5" x14ac:dyDescent="0.25">
      <c r="C210" s="20"/>
      <c r="D210" s="16"/>
    </row>
    <row r="211" spans="3:4" ht="12.5" x14ac:dyDescent="0.25">
      <c r="C211" s="20"/>
      <c r="D211" s="16"/>
    </row>
    <row r="212" spans="3:4" ht="12.5" x14ac:dyDescent="0.25">
      <c r="C212" s="20"/>
      <c r="D212" s="16"/>
    </row>
    <row r="213" spans="3:4" ht="12.5" x14ac:dyDescent="0.25">
      <c r="C213" s="20"/>
      <c r="D213" s="16"/>
    </row>
    <row r="214" spans="3:4" ht="12.5" x14ac:dyDescent="0.25">
      <c r="C214" s="20"/>
      <c r="D214" s="16"/>
    </row>
    <row r="215" spans="3:4" ht="12.5" x14ac:dyDescent="0.25">
      <c r="C215" s="20"/>
      <c r="D215" s="16"/>
    </row>
    <row r="216" spans="3:4" ht="12.5" x14ac:dyDescent="0.25">
      <c r="C216" s="20"/>
      <c r="D216" s="16"/>
    </row>
    <row r="217" spans="3:4" ht="12.5" x14ac:dyDescent="0.25">
      <c r="C217" s="20"/>
      <c r="D217" s="16"/>
    </row>
    <row r="218" spans="3:4" ht="12.5" x14ac:dyDescent="0.25">
      <c r="C218" s="20"/>
      <c r="D218" s="16"/>
    </row>
    <row r="219" spans="3:4" ht="12.5" x14ac:dyDescent="0.25">
      <c r="C219" s="20"/>
      <c r="D219" s="16"/>
    </row>
    <row r="220" spans="3:4" ht="12.5" x14ac:dyDescent="0.25">
      <c r="C220" s="20"/>
      <c r="D220" s="16"/>
    </row>
    <row r="221" spans="3:4" ht="12.5" x14ac:dyDescent="0.25">
      <c r="C221" s="20"/>
      <c r="D221" s="16"/>
    </row>
    <row r="222" spans="3:4" ht="12.5" x14ac:dyDescent="0.25">
      <c r="C222" s="20"/>
      <c r="D222" s="16"/>
    </row>
    <row r="223" spans="3:4" ht="12.5" x14ac:dyDescent="0.25">
      <c r="C223" s="20"/>
      <c r="D223" s="16"/>
    </row>
    <row r="224" spans="3:4" ht="12.5" x14ac:dyDescent="0.25">
      <c r="C224" s="20"/>
      <c r="D224" s="16"/>
    </row>
    <row r="225" spans="3:4" ht="12.5" x14ac:dyDescent="0.25">
      <c r="C225" s="20"/>
      <c r="D225" s="16"/>
    </row>
    <row r="226" spans="3:4" ht="12.5" x14ac:dyDescent="0.25">
      <c r="C226" s="20"/>
      <c r="D226" s="16"/>
    </row>
    <row r="227" spans="3:4" ht="12.5" x14ac:dyDescent="0.25">
      <c r="C227" s="20"/>
      <c r="D227" s="16"/>
    </row>
    <row r="228" spans="3:4" ht="12.5" x14ac:dyDescent="0.25">
      <c r="C228" s="20"/>
      <c r="D228" s="16"/>
    </row>
    <row r="229" spans="3:4" ht="12.5" x14ac:dyDescent="0.25">
      <c r="C229" s="20"/>
      <c r="D229" s="16"/>
    </row>
    <row r="230" spans="3:4" ht="12.5" x14ac:dyDescent="0.25">
      <c r="C230" s="20"/>
      <c r="D230" s="16"/>
    </row>
    <row r="231" spans="3:4" ht="12.5" x14ac:dyDescent="0.25">
      <c r="C231" s="20"/>
      <c r="D231" s="16"/>
    </row>
    <row r="232" spans="3:4" ht="12.5" x14ac:dyDescent="0.25">
      <c r="C232" s="20"/>
      <c r="D232" s="16"/>
    </row>
    <row r="233" spans="3:4" ht="12.5" x14ac:dyDescent="0.25">
      <c r="C233" s="20"/>
      <c r="D233" s="16"/>
    </row>
    <row r="234" spans="3:4" ht="12.5" x14ac:dyDescent="0.25">
      <c r="C234" s="20"/>
      <c r="D234" s="16"/>
    </row>
    <row r="235" spans="3:4" ht="12.5" x14ac:dyDescent="0.25">
      <c r="C235" s="20"/>
      <c r="D235" s="16"/>
    </row>
    <row r="236" spans="3:4" ht="12.5" x14ac:dyDescent="0.25">
      <c r="C236" s="20"/>
      <c r="D236" s="16"/>
    </row>
    <row r="237" spans="3:4" ht="12.5" x14ac:dyDescent="0.25">
      <c r="C237" s="20"/>
      <c r="D237" s="16"/>
    </row>
    <row r="238" spans="3:4" ht="12.5" x14ac:dyDescent="0.25">
      <c r="C238" s="20"/>
      <c r="D238" s="16"/>
    </row>
    <row r="239" spans="3:4" ht="12.5" x14ac:dyDescent="0.25">
      <c r="C239" s="20"/>
      <c r="D239" s="16"/>
    </row>
    <row r="240" spans="3:4" ht="12.5" x14ac:dyDescent="0.25">
      <c r="C240" s="20"/>
      <c r="D240" s="16"/>
    </row>
    <row r="241" spans="3:4" ht="12.5" x14ac:dyDescent="0.25">
      <c r="C241" s="20"/>
      <c r="D241" s="16"/>
    </row>
    <row r="242" spans="3:4" ht="12.5" x14ac:dyDescent="0.25">
      <c r="C242" s="20"/>
      <c r="D242" s="16"/>
    </row>
    <row r="243" spans="3:4" ht="12.5" x14ac:dyDescent="0.25">
      <c r="C243" s="20"/>
      <c r="D243" s="16"/>
    </row>
    <row r="244" spans="3:4" ht="12.5" x14ac:dyDescent="0.25">
      <c r="C244" s="20"/>
      <c r="D244" s="16"/>
    </row>
    <row r="245" spans="3:4" ht="12.5" x14ac:dyDescent="0.25">
      <c r="C245" s="20"/>
      <c r="D245" s="16"/>
    </row>
    <row r="246" spans="3:4" ht="12.5" x14ac:dyDescent="0.25">
      <c r="C246" s="20"/>
      <c r="D246" s="16"/>
    </row>
    <row r="247" spans="3:4" ht="12.5" x14ac:dyDescent="0.25">
      <c r="C247" s="20"/>
      <c r="D247" s="16"/>
    </row>
    <row r="248" spans="3:4" ht="12.5" x14ac:dyDescent="0.25">
      <c r="C248" s="20"/>
      <c r="D248" s="16"/>
    </row>
    <row r="249" spans="3:4" ht="12.5" x14ac:dyDescent="0.25">
      <c r="C249" s="20"/>
      <c r="D249" s="16"/>
    </row>
    <row r="250" spans="3:4" ht="12.5" x14ac:dyDescent="0.25">
      <c r="C250" s="20"/>
      <c r="D250" s="16"/>
    </row>
    <row r="251" spans="3:4" ht="12.5" x14ac:dyDescent="0.25">
      <c r="C251" s="20"/>
      <c r="D251" s="16"/>
    </row>
    <row r="252" spans="3:4" ht="12.5" x14ac:dyDescent="0.25">
      <c r="C252" s="20"/>
      <c r="D252" s="16"/>
    </row>
    <row r="253" spans="3:4" ht="12.5" x14ac:dyDescent="0.25">
      <c r="C253" s="20"/>
      <c r="D253" s="16"/>
    </row>
    <row r="254" spans="3:4" ht="12.5" x14ac:dyDescent="0.25">
      <c r="C254" s="20"/>
      <c r="D254" s="16"/>
    </row>
    <row r="255" spans="3:4" ht="12.5" x14ac:dyDescent="0.25">
      <c r="C255" s="20"/>
      <c r="D255" s="16"/>
    </row>
    <row r="256" spans="3:4" ht="12.5" x14ac:dyDescent="0.25">
      <c r="C256" s="20"/>
      <c r="D256" s="16"/>
    </row>
    <row r="257" spans="3:4" ht="12.5" x14ac:dyDescent="0.25">
      <c r="C257" s="20"/>
      <c r="D257" s="16"/>
    </row>
    <row r="258" spans="3:4" ht="12.5" x14ac:dyDescent="0.25">
      <c r="C258" s="20"/>
      <c r="D258" s="16"/>
    </row>
    <row r="259" spans="3:4" ht="12.5" x14ac:dyDescent="0.25">
      <c r="C259" s="20"/>
      <c r="D259" s="16"/>
    </row>
    <row r="260" spans="3:4" ht="12.5" x14ac:dyDescent="0.25">
      <c r="C260" s="20"/>
      <c r="D260" s="16"/>
    </row>
    <row r="261" spans="3:4" ht="12.5" x14ac:dyDescent="0.25">
      <c r="C261" s="20"/>
      <c r="D261" s="16"/>
    </row>
    <row r="262" spans="3:4" ht="12.5" x14ac:dyDescent="0.25">
      <c r="C262" s="20"/>
      <c r="D262" s="16"/>
    </row>
    <row r="263" spans="3:4" ht="12.5" x14ac:dyDescent="0.25">
      <c r="C263" s="20"/>
      <c r="D263" s="16"/>
    </row>
    <row r="264" spans="3:4" ht="12.5" x14ac:dyDescent="0.25">
      <c r="C264" s="20"/>
      <c r="D264" s="16"/>
    </row>
    <row r="265" spans="3:4" ht="12.5" x14ac:dyDescent="0.25">
      <c r="C265" s="20"/>
      <c r="D265" s="16"/>
    </row>
    <row r="266" spans="3:4" ht="12.5" x14ac:dyDescent="0.25">
      <c r="C266" s="20"/>
      <c r="D266" s="16"/>
    </row>
    <row r="267" spans="3:4" ht="12.5" x14ac:dyDescent="0.25">
      <c r="C267" s="20"/>
      <c r="D267" s="16"/>
    </row>
    <row r="268" spans="3:4" ht="12.5" x14ac:dyDescent="0.25">
      <c r="C268" s="20"/>
      <c r="D268" s="16"/>
    </row>
    <row r="269" spans="3:4" ht="12.5" x14ac:dyDescent="0.25">
      <c r="C269" s="20"/>
      <c r="D269" s="16"/>
    </row>
    <row r="270" spans="3:4" ht="12.5" x14ac:dyDescent="0.25">
      <c r="C270" s="20"/>
      <c r="D270" s="16"/>
    </row>
    <row r="271" spans="3:4" ht="12.5" x14ac:dyDescent="0.25">
      <c r="C271" s="20"/>
      <c r="D271" s="16"/>
    </row>
    <row r="272" spans="3:4" ht="12.5" x14ac:dyDescent="0.25">
      <c r="C272" s="20"/>
      <c r="D272" s="16"/>
    </row>
    <row r="273" spans="3:4" ht="12.5" x14ac:dyDescent="0.25">
      <c r="C273" s="20"/>
      <c r="D273" s="16"/>
    </row>
    <row r="274" spans="3:4" ht="12.5" x14ac:dyDescent="0.25">
      <c r="C274" s="20"/>
      <c r="D274" s="16"/>
    </row>
    <row r="275" spans="3:4" ht="12.5" x14ac:dyDescent="0.25">
      <c r="C275" s="20"/>
      <c r="D275" s="16"/>
    </row>
    <row r="276" spans="3:4" ht="12.5" x14ac:dyDescent="0.25">
      <c r="C276" s="20"/>
      <c r="D276" s="16"/>
    </row>
    <row r="277" spans="3:4" ht="12.5" x14ac:dyDescent="0.25">
      <c r="C277" s="20"/>
      <c r="D277" s="16"/>
    </row>
    <row r="278" spans="3:4" ht="12.5" x14ac:dyDescent="0.25">
      <c r="C278" s="20"/>
      <c r="D278" s="16"/>
    </row>
    <row r="279" spans="3:4" ht="12.5" x14ac:dyDescent="0.25">
      <c r="C279" s="20"/>
      <c r="D279" s="16"/>
    </row>
    <row r="280" spans="3:4" ht="12.5" x14ac:dyDescent="0.25">
      <c r="C280" s="20"/>
      <c r="D280" s="16"/>
    </row>
    <row r="281" spans="3:4" ht="12.5" x14ac:dyDescent="0.25">
      <c r="C281" s="20"/>
      <c r="D281" s="16"/>
    </row>
    <row r="282" spans="3:4" ht="12.5" x14ac:dyDescent="0.25">
      <c r="C282" s="20"/>
      <c r="D282" s="16"/>
    </row>
    <row r="283" spans="3:4" ht="12.5" x14ac:dyDescent="0.25">
      <c r="C283" s="20"/>
      <c r="D283" s="16"/>
    </row>
    <row r="284" spans="3:4" ht="12.5" x14ac:dyDescent="0.25">
      <c r="C284" s="20"/>
      <c r="D284" s="16"/>
    </row>
    <row r="285" spans="3:4" ht="12.5" x14ac:dyDescent="0.25">
      <c r="C285" s="20"/>
      <c r="D285" s="16"/>
    </row>
    <row r="286" spans="3:4" ht="12.5" x14ac:dyDescent="0.25">
      <c r="C286" s="20"/>
      <c r="D286" s="16"/>
    </row>
    <row r="287" spans="3:4" ht="12.5" x14ac:dyDescent="0.25">
      <c r="C287" s="20"/>
      <c r="D287" s="16"/>
    </row>
    <row r="288" spans="3:4" ht="12.5" x14ac:dyDescent="0.25">
      <c r="C288" s="20"/>
      <c r="D288" s="16"/>
    </row>
    <row r="289" spans="3:4" ht="12.5" x14ac:dyDescent="0.25">
      <c r="C289" s="20"/>
      <c r="D289" s="16"/>
    </row>
    <row r="290" spans="3:4" ht="12.5" x14ac:dyDescent="0.25">
      <c r="C290" s="20"/>
      <c r="D290" s="16"/>
    </row>
    <row r="291" spans="3:4" ht="12.5" x14ac:dyDescent="0.25">
      <c r="C291" s="20"/>
      <c r="D291" s="16"/>
    </row>
    <row r="292" spans="3:4" ht="12.5" x14ac:dyDescent="0.25">
      <c r="C292" s="20"/>
      <c r="D292" s="16"/>
    </row>
    <row r="293" spans="3:4" ht="12.5" x14ac:dyDescent="0.25">
      <c r="C293" s="20"/>
      <c r="D293" s="16"/>
    </row>
    <row r="294" spans="3:4" ht="12.5" x14ac:dyDescent="0.25">
      <c r="C294" s="20"/>
      <c r="D294" s="16"/>
    </row>
    <row r="295" spans="3:4" ht="12.5" x14ac:dyDescent="0.25">
      <c r="C295" s="20"/>
      <c r="D295" s="16"/>
    </row>
    <row r="296" spans="3:4" ht="12.5" x14ac:dyDescent="0.25">
      <c r="C296" s="20"/>
      <c r="D296" s="16"/>
    </row>
    <row r="297" spans="3:4" ht="12.5" x14ac:dyDescent="0.25">
      <c r="C297" s="20"/>
      <c r="D297" s="16"/>
    </row>
    <row r="298" spans="3:4" ht="12.5" x14ac:dyDescent="0.25">
      <c r="C298" s="20"/>
      <c r="D298" s="16"/>
    </row>
    <row r="299" spans="3:4" ht="12.5" x14ac:dyDescent="0.25">
      <c r="C299" s="20"/>
      <c r="D299" s="16"/>
    </row>
    <row r="300" spans="3:4" ht="12.5" x14ac:dyDescent="0.25">
      <c r="C300" s="20"/>
      <c r="D300" s="16"/>
    </row>
    <row r="301" spans="3:4" ht="12.5" x14ac:dyDescent="0.25">
      <c r="C301" s="20"/>
      <c r="D301" s="16"/>
    </row>
    <row r="302" spans="3:4" ht="12.5" x14ac:dyDescent="0.25">
      <c r="C302" s="20"/>
      <c r="D302" s="16"/>
    </row>
    <row r="303" spans="3:4" ht="12.5" x14ac:dyDescent="0.25">
      <c r="C303" s="20"/>
      <c r="D303" s="16"/>
    </row>
    <row r="304" spans="3:4" ht="12.5" x14ac:dyDescent="0.25">
      <c r="C304" s="20"/>
      <c r="D304" s="16"/>
    </row>
    <row r="305" spans="3:4" ht="12.5" x14ac:dyDescent="0.25">
      <c r="C305" s="20"/>
      <c r="D305" s="16"/>
    </row>
    <row r="306" spans="3:4" ht="12.5" x14ac:dyDescent="0.25">
      <c r="C306" s="20"/>
      <c r="D306" s="16"/>
    </row>
    <row r="307" spans="3:4" ht="12.5" x14ac:dyDescent="0.25">
      <c r="C307" s="20"/>
      <c r="D307" s="16"/>
    </row>
    <row r="308" spans="3:4" ht="12.5" x14ac:dyDescent="0.25">
      <c r="C308" s="20"/>
      <c r="D308" s="16"/>
    </row>
    <row r="309" spans="3:4" ht="12.5" x14ac:dyDescent="0.25">
      <c r="C309" s="20"/>
      <c r="D309" s="16"/>
    </row>
    <row r="310" spans="3:4" ht="12.5" x14ac:dyDescent="0.25">
      <c r="C310" s="20"/>
      <c r="D310" s="16"/>
    </row>
    <row r="311" spans="3:4" ht="12.5" x14ac:dyDescent="0.25">
      <c r="C311" s="20"/>
      <c r="D311" s="16"/>
    </row>
    <row r="312" spans="3:4" ht="12.5" x14ac:dyDescent="0.25">
      <c r="C312" s="20"/>
      <c r="D312" s="16"/>
    </row>
    <row r="313" spans="3:4" ht="12.5" x14ac:dyDescent="0.25">
      <c r="C313" s="20"/>
      <c r="D313" s="16"/>
    </row>
    <row r="314" spans="3:4" ht="12.5" x14ac:dyDescent="0.25">
      <c r="C314" s="20"/>
      <c r="D314" s="16"/>
    </row>
    <row r="315" spans="3:4" ht="12.5" x14ac:dyDescent="0.25">
      <c r="C315" s="20"/>
      <c r="D315" s="16"/>
    </row>
    <row r="316" spans="3:4" ht="12.5" x14ac:dyDescent="0.25">
      <c r="C316" s="20"/>
      <c r="D316" s="16"/>
    </row>
    <row r="317" spans="3:4" ht="12.5" x14ac:dyDescent="0.25">
      <c r="C317" s="20"/>
      <c r="D317" s="16"/>
    </row>
    <row r="318" spans="3:4" ht="12.5" x14ac:dyDescent="0.25">
      <c r="C318" s="20"/>
      <c r="D318" s="16"/>
    </row>
    <row r="319" spans="3:4" ht="12.5" x14ac:dyDescent="0.25">
      <c r="C319" s="20"/>
      <c r="D319" s="16"/>
    </row>
    <row r="320" spans="3:4" ht="12.5" x14ac:dyDescent="0.25">
      <c r="C320" s="20"/>
      <c r="D320" s="16"/>
    </row>
    <row r="321" spans="3:4" ht="12.5" x14ac:dyDescent="0.25">
      <c r="C321" s="20"/>
      <c r="D321" s="16"/>
    </row>
    <row r="322" spans="3:4" ht="12.5" x14ac:dyDescent="0.25">
      <c r="C322" s="20"/>
      <c r="D322" s="16"/>
    </row>
    <row r="323" spans="3:4" ht="12.5" x14ac:dyDescent="0.25">
      <c r="C323" s="20"/>
      <c r="D323" s="16"/>
    </row>
    <row r="324" spans="3:4" ht="12.5" x14ac:dyDescent="0.25">
      <c r="C324" s="20"/>
      <c r="D324" s="16"/>
    </row>
    <row r="325" spans="3:4" ht="12.5" x14ac:dyDescent="0.25">
      <c r="C325" s="20"/>
      <c r="D325" s="16"/>
    </row>
    <row r="326" spans="3:4" ht="12.5" x14ac:dyDescent="0.25">
      <c r="C326" s="20"/>
      <c r="D326" s="16"/>
    </row>
    <row r="327" spans="3:4" ht="12.5" x14ac:dyDescent="0.25">
      <c r="C327" s="20"/>
      <c r="D327" s="16"/>
    </row>
    <row r="328" spans="3:4" ht="12.5" x14ac:dyDescent="0.25">
      <c r="C328" s="20"/>
      <c r="D328" s="16"/>
    </row>
    <row r="329" spans="3:4" ht="12.5" x14ac:dyDescent="0.25">
      <c r="C329" s="20"/>
      <c r="D329" s="16"/>
    </row>
    <row r="330" spans="3:4" ht="12.5" x14ac:dyDescent="0.25">
      <c r="C330" s="20"/>
      <c r="D330" s="16"/>
    </row>
    <row r="331" spans="3:4" ht="12.5" x14ac:dyDescent="0.25">
      <c r="C331" s="20"/>
      <c r="D331" s="16"/>
    </row>
    <row r="332" spans="3:4" ht="12.5" x14ac:dyDescent="0.25">
      <c r="C332" s="20"/>
      <c r="D332" s="16"/>
    </row>
    <row r="333" spans="3:4" ht="12.5" x14ac:dyDescent="0.25">
      <c r="C333" s="20"/>
      <c r="D333" s="16"/>
    </row>
    <row r="334" spans="3:4" ht="12.5" x14ac:dyDescent="0.25">
      <c r="C334" s="20"/>
      <c r="D334" s="16"/>
    </row>
    <row r="335" spans="3:4" ht="12.5" x14ac:dyDescent="0.25">
      <c r="C335" s="20"/>
      <c r="D335" s="16"/>
    </row>
    <row r="336" spans="3:4" ht="12.5" x14ac:dyDescent="0.25">
      <c r="C336" s="20"/>
      <c r="D336" s="16"/>
    </row>
    <row r="337" spans="3:4" ht="12.5" x14ac:dyDescent="0.25">
      <c r="C337" s="20"/>
      <c r="D337" s="16"/>
    </row>
    <row r="338" spans="3:4" ht="12.5" x14ac:dyDescent="0.25">
      <c r="C338" s="20"/>
      <c r="D338" s="16"/>
    </row>
    <row r="339" spans="3:4" ht="12.5" x14ac:dyDescent="0.25">
      <c r="C339" s="20"/>
      <c r="D339" s="16"/>
    </row>
    <row r="340" spans="3:4" ht="12.5" x14ac:dyDescent="0.25">
      <c r="C340" s="20"/>
      <c r="D340" s="16"/>
    </row>
    <row r="341" spans="3:4" ht="12.5" x14ac:dyDescent="0.25">
      <c r="C341" s="20"/>
      <c r="D341" s="16"/>
    </row>
    <row r="342" spans="3:4" ht="12.5" x14ac:dyDescent="0.25">
      <c r="C342" s="20"/>
      <c r="D342" s="16"/>
    </row>
    <row r="343" spans="3:4" ht="12.5" x14ac:dyDescent="0.25">
      <c r="C343" s="20"/>
      <c r="D343" s="16"/>
    </row>
    <row r="344" spans="3:4" ht="12.5" x14ac:dyDescent="0.25">
      <c r="C344" s="20"/>
      <c r="D344" s="16"/>
    </row>
    <row r="345" spans="3:4" ht="12.5" x14ac:dyDescent="0.25">
      <c r="C345" s="20"/>
      <c r="D345" s="16"/>
    </row>
    <row r="346" spans="3:4" ht="12.5" x14ac:dyDescent="0.25">
      <c r="C346" s="20"/>
      <c r="D346" s="16"/>
    </row>
    <row r="347" spans="3:4" ht="12.5" x14ac:dyDescent="0.25">
      <c r="C347" s="20"/>
      <c r="D347" s="16"/>
    </row>
    <row r="348" spans="3:4" ht="12.5" x14ac:dyDescent="0.25">
      <c r="C348" s="20"/>
      <c r="D348" s="16"/>
    </row>
    <row r="349" spans="3:4" ht="12.5" x14ac:dyDescent="0.25">
      <c r="C349" s="20"/>
      <c r="D349" s="16"/>
    </row>
    <row r="350" spans="3:4" ht="12.5" x14ac:dyDescent="0.25">
      <c r="C350" s="20"/>
      <c r="D350" s="16"/>
    </row>
    <row r="351" spans="3:4" ht="12.5" x14ac:dyDescent="0.25">
      <c r="C351" s="20"/>
      <c r="D351" s="16"/>
    </row>
    <row r="352" spans="3:4" ht="12.5" x14ac:dyDescent="0.25">
      <c r="C352" s="20"/>
      <c r="D352" s="16"/>
    </row>
    <row r="353" spans="3:4" ht="12.5" x14ac:dyDescent="0.25">
      <c r="C353" s="20"/>
      <c r="D353" s="16"/>
    </row>
    <row r="354" spans="3:4" ht="12.5" x14ac:dyDescent="0.25">
      <c r="C354" s="20"/>
      <c r="D354" s="16"/>
    </row>
    <row r="355" spans="3:4" ht="12.5" x14ac:dyDescent="0.25">
      <c r="C355" s="20"/>
      <c r="D355" s="16"/>
    </row>
    <row r="356" spans="3:4" ht="12.5" x14ac:dyDescent="0.25">
      <c r="C356" s="20"/>
      <c r="D356" s="16"/>
    </row>
    <row r="357" spans="3:4" ht="12.5" x14ac:dyDescent="0.25">
      <c r="C357" s="20"/>
      <c r="D357" s="16"/>
    </row>
    <row r="358" spans="3:4" ht="12.5" x14ac:dyDescent="0.25">
      <c r="C358" s="20"/>
      <c r="D358" s="16"/>
    </row>
    <row r="359" spans="3:4" ht="12.5" x14ac:dyDescent="0.25">
      <c r="C359" s="20"/>
      <c r="D359" s="16"/>
    </row>
    <row r="360" spans="3:4" ht="12.5" x14ac:dyDescent="0.25">
      <c r="C360" s="20"/>
      <c r="D360" s="16"/>
    </row>
    <row r="361" spans="3:4" ht="12.5" x14ac:dyDescent="0.25">
      <c r="C361" s="20"/>
      <c r="D361" s="16"/>
    </row>
    <row r="362" spans="3:4" ht="12.5" x14ac:dyDescent="0.25">
      <c r="C362" s="20"/>
      <c r="D362" s="16"/>
    </row>
    <row r="363" spans="3:4" ht="12.5" x14ac:dyDescent="0.25">
      <c r="C363" s="20"/>
      <c r="D363" s="16"/>
    </row>
    <row r="364" spans="3:4" ht="12.5" x14ac:dyDescent="0.25">
      <c r="C364" s="20"/>
      <c r="D364" s="16"/>
    </row>
    <row r="365" spans="3:4" ht="12.5" x14ac:dyDescent="0.25">
      <c r="C365" s="20"/>
      <c r="D365" s="16"/>
    </row>
    <row r="366" spans="3:4" ht="12.5" x14ac:dyDescent="0.25">
      <c r="C366" s="20"/>
      <c r="D366" s="16"/>
    </row>
    <row r="367" spans="3:4" ht="12.5" x14ac:dyDescent="0.25">
      <c r="C367" s="20"/>
      <c r="D367" s="16"/>
    </row>
    <row r="368" spans="3:4" ht="12.5" x14ac:dyDescent="0.25">
      <c r="C368" s="20"/>
      <c r="D368" s="16"/>
    </row>
    <row r="369" spans="3:4" ht="12.5" x14ac:dyDescent="0.25">
      <c r="C369" s="20"/>
      <c r="D369" s="16"/>
    </row>
    <row r="370" spans="3:4" ht="12.5" x14ac:dyDescent="0.25">
      <c r="C370" s="20"/>
      <c r="D370" s="16"/>
    </row>
    <row r="371" spans="3:4" ht="12.5" x14ac:dyDescent="0.25">
      <c r="C371" s="20"/>
      <c r="D371" s="16"/>
    </row>
    <row r="372" spans="3:4" ht="12.5" x14ac:dyDescent="0.25">
      <c r="C372" s="20"/>
      <c r="D372" s="16"/>
    </row>
    <row r="373" spans="3:4" ht="12.5" x14ac:dyDescent="0.25">
      <c r="C373" s="20"/>
      <c r="D373" s="16"/>
    </row>
    <row r="374" spans="3:4" ht="12.5" x14ac:dyDescent="0.25">
      <c r="C374" s="20"/>
      <c r="D374" s="16"/>
    </row>
    <row r="375" spans="3:4" ht="12.5" x14ac:dyDescent="0.25">
      <c r="C375" s="20"/>
      <c r="D375" s="16"/>
    </row>
    <row r="376" spans="3:4" ht="12.5" x14ac:dyDescent="0.25">
      <c r="C376" s="20"/>
      <c r="D376" s="16"/>
    </row>
    <row r="377" spans="3:4" ht="12.5" x14ac:dyDescent="0.25">
      <c r="C377" s="20"/>
      <c r="D377" s="16"/>
    </row>
    <row r="378" spans="3:4" ht="12.5" x14ac:dyDescent="0.25">
      <c r="C378" s="20"/>
      <c r="D378" s="16"/>
    </row>
    <row r="379" spans="3:4" ht="12.5" x14ac:dyDescent="0.25">
      <c r="C379" s="20"/>
      <c r="D379" s="16"/>
    </row>
    <row r="380" spans="3:4" ht="12.5" x14ac:dyDescent="0.25">
      <c r="C380" s="20"/>
      <c r="D380" s="16"/>
    </row>
    <row r="381" spans="3:4" ht="12.5" x14ac:dyDescent="0.25">
      <c r="C381" s="20"/>
      <c r="D381" s="16"/>
    </row>
    <row r="382" spans="3:4" ht="12.5" x14ac:dyDescent="0.25">
      <c r="C382" s="20"/>
      <c r="D382" s="16"/>
    </row>
    <row r="383" spans="3:4" ht="12.5" x14ac:dyDescent="0.25">
      <c r="C383" s="20"/>
      <c r="D383" s="16"/>
    </row>
    <row r="384" spans="3:4" ht="12.5" x14ac:dyDescent="0.25">
      <c r="C384" s="20"/>
      <c r="D384" s="16"/>
    </row>
    <row r="385" spans="3:4" ht="12.5" x14ac:dyDescent="0.25">
      <c r="C385" s="20"/>
      <c r="D385" s="16"/>
    </row>
    <row r="386" spans="3:4" ht="12.5" x14ac:dyDescent="0.25">
      <c r="C386" s="20"/>
      <c r="D386" s="16"/>
    </row>
    <row r="387" spans="3:4" ht="12.5" x14ac:dyDescent="0.25">
      <c r="C387" s="20"/>
      <c r="D387" s="16"/>
    </row>
    <row r="388" spans="3:4" ht="12.5" x14ac:dyDescent="0.25">
      <c r="C388" s="20"/>
      <c r="D388" s="16"/>
    </row>
    <row r="389" spans="3:4" ht="12.5" x14ac:dyDescent="0.25">
      <c r="C389" s="20"/>
      <c r="D389" s="16"/>
    </row>
    <row r="390" spans="3:4" ht="12.5" x14ac:dyDescent="0.25">
      <c r="C390" s="20"/>
      <c r="D390" s="16"/>
    </row>
    <row r="391" spans="3:4" ht="12.5" x14ac:dyDescent="0.25">
      <c r="C391" s="20"/>
      <c r="D391" s="16"/>
    </row>
    <row r="392" spans="3:4" ht="12.5" x14ac:dyDescent="0.25">
      <c r="C392" s="20"/>
      <c r="D392" s="16"/>
    </row>
    <row r="393" spans="3:4" ht="12.5" x14ac:dyDescent="0.25">
      <c r="C393" s="20"/>
      <c r="D393" s="16"/>
    </row>
    <row r="394" spans="3:4" ht="12.5" x14ac:dyDescent="0.25">
      <c r="C394" s="20"/>
      <c r="D394" s="16"/>
    </row>
    <row r="395" spans="3:4" ht="12.5" x14ac:dyDescent="0.25">
      <c r="C395" s="20"/>
      <c r="D395" s="16"/>
    </row>
    <row r="396" spans="3:4" ht="12.5" x14ac:dyDescent="0.25">
      <c r="C396" s="20"/>
      <c r="D396" s="16"/>
    </row>
    <row r="397" spans="3:4" ht="12.5" x14ac:dyDescent="0.25">
      <c r="C397" s="20"/>
      <c r="D397" s="16"/>
    </row>
    <row r="398" spans="3:4" ht="12.5" x14ac:dyDescent="0.25">
      <c r="C398" s="20"/>
      <c r="D398" s="16"/>
    </row>
    <row r="399" spans="3:4" ht="12.5" x14ac:dyDescent="0.25">
      <c r="C399" s="20"/>
      <c r="D399" s="16"/>
    </row>
    <row r="400" spans="3:4" ht="12.5" x14ac:dyDescent="0.25">
      <c r="C400" s="20"/>
      <c r="D400" s="16"/>
    </row>
    <row r="401" spans="3:4" ht="12.5" x14ac:dyDescent="0.25">
      <c r="C401" s="20"/>
      <c r="D401" s="16"/>
    </row>
    <row r="402" spans="3:4" ht="12.5" x14ac:dyDescent="0.25">
      <c r="C402" s="20"/>
      <c r="D402" s="16"/>
    </row>
    <row r="403" spans="3:4" ht="12.5" x14ac:dyDescent="0.25">
      <c r="C403" s="20"/>
      <c r="D403" s="16"/>
    </row>
    <row r="404" spans="3:4" ht="12.5" x14ac:dyDescent="0.25">
      <c r="C404" s="20"/>
      <c r="D404" s="16"/>
    </row>
    <row r="405" spans="3:4" ht="12.5" x14ac:dyDescent="0.25">
      <c r="C405" s="20"/>
      <c r="D405" s="16"/>
    </row>
    <row r="406" spans="3:4" ht="12.5" x14ac:dyDescent="0.25">
      <c r="C406" s="20"/>
      <c r="D406" s="16"/>
    </row>
    <row r="407" spans="3:4" ht="12.5" x14ac:dyDescent="0.25">
      <c r="C407" s="20"/>
      <c r="D407" s="16"/>
    </row>
    <row r="408" spans="3:4" ht="12.5" x14ac:dyDescent="0.25">
      <c r="C408" s="20"/>
      <c r="D408" s="16"/>
    </row>
    <row r="409" spans="3:4" ht="12.5" x14ac:dyDescent="0.25">
      <c r="C409" s="20"/>
      <c r="D409" s="16"/>
    </row>
    <row r="410" spans="3:4" ht="12.5" x14ac:dyDescent="0.25">
      <c r="C410" s="20"/>
      <c r="D410" s="16"/>
    </row>
    <row r="411" spans="3:4" ht="12.5" x14ac:dyDescent="0.25">
      <c r="C411" s="20"/>
      <c r="D411" s="16"/>
    </row>
    <row r="412" spans="3:4" ht="12.5" x14ac:dyDescent="0.25">
      <c r="C412" s="20"/>
      <c r="D412" s="16"/>
    </row>
    <row r="413" spans="3:4" ht="12.5" x14ac:dyDescent="0.25">
      <c r="C413" s="20"/>
      <c r="D413" s="16"/>
    </row>
    <row r="414" spans="3:4" ht="12.5" x14ac:dyDescent="0.25">
      <c r="C414" s="20"/>
      <c r="D414" s="16"/>
    </row>
    <row r="415" spans="3:4" ht="12.5" x14ac:dyDescent="0.25">
      <c r="C415" s="20"/>
      <c r="D415" s="16"/>
    </row>
    <row r="416" spans="3:4" ht="12.5" x14ac:dyDescent="0.25">
      <c r="C416" s="20"/>
      <c r="D416" s="16"/>
    </row>
    <row r="417" spans="3:4" ht="12.5" x14ac:dyDescent="0.25">
      <c r="C417" s="20"/>
      <c r="D417" s="16"/>
    </row>
    <row r="418" spans="3:4" ht="12.5" x14ac:dyDescent="0.25">
      <c r="C418" s="20"/>
      <c r="D418" s="16"/>
    </row>
    <row r="419" spans="3:4" ht="12.5" x14ac:dyDescent="0.25">
      <c r="C419" s="20"/>
      <c r="D419" s="16"/>
    </row>
    <row r="420" spans="3:4" ht="12.5" x14ac:dyDescent="0.25">
      <c r="C420" s="20"/>
      <c r="D420" s="16"/>
    </row>
    <row r="421" spans="3:4" ht="12.5" x14ac:dyDescent="0.25">
      <c r="C421" s="20"/>
      <c r="D421" s="16"/>
    </row>
    <row r="422" spans="3:4" ht="12.5" x14ac:dyDescent="0.25">
      <c r="C422" s="20"/>
      <c r="D422" s="16"/>
    </row>
    <row r="423" spans="3:4" ht="12.5" x14ac:dyDescent="0.25">
      <c r="C423" s="20"/>
      <c r="D423" s="16"/>
    </row>
    <row r="424" spans="3:4" ht="12.5" x14ac:dyDescent="0.25">
      <c r="C424" s="20"/>
      <c r="D424" s="16"/>
    </row>
    <row r="425" spans="3:4" ht="12.5" x14ac:dyDescent="0.25">
      <c r="C425" s="20"/>
      <c r="D425" s="16"/>
    </row>
    <row r="426" spans="3:4" ht="12.5" x14ac:dyDescent="0.25">
      <c r="C426" s="20"/>
      <c r="D426" s="16"/>
    </row>
    <row r="427" spans="3:4" ht="12.5" x14ac:dyDescent="0.25">
      <c r="C427" s="20"/>
      <c r="D427" s="16"/>
    </row>
    <row r="428" spans="3:4" ht="12.5" x14ac:dyDescent="0.25">
      <c r="C428" s="20"/>
      <c r="D428" s="16"/>
    </row>
    <row r="429" spans="3:4" ht="12.5" x14ac:dyDescent="0.25">
      <c r="C429" s="20"/>
      <c r="D429" s="16"/>
    </row>
    <row r="430" spans="3:4" ht="12.5" x14ac:dyDescent="0.25">
      <c r="C430" s="20"/>
      <c r="D430" s="16"/>
    </row>
    <row r="431" spans="3:4" ht="12.5" x14ac:dyDescent="0.25">
      <c r="C431" s="20"/>
      <c r="D431" s="16"/>
    </row>
    <row r="432" spans="3:4" ht="12.5" x14ac:dyDescent="0.25">
      <c r="C432" s="20"/>
      <c r="D432" s="16"/>
    </row>
    <row r="433" spans="3:4" ht="12.5" x14ac:dyDescent="0.25">
      <c r="C433" s="20"/>
      <c r="D433" s="16"/>
    </row>
    <row r="434" spans="3:4" ht="12.5" x14ac:dyDescent="0.25">
      <c r="C434" s="20"/>
      <c r="D434" s="16"/>
    </row>
    <row r="435" spans="3:4" ht="12.5" x14ac:dyDescent="0.25">
      <c r="C435" s="20"/>
      <c r="D435" s="16"/>
    </row>
    <row r="436" spans="3:4" ht="12.5" x14ac:dyDescent="0.25">
      <c r="C436" s="20"/>
      <c r="D436" s="16"/>
    </row>
    <row r="437" spans="3:4" ht="12.5" x14ac:dyDescent="0.25">
      <c r="C437" s="20"/>
      <c r="D437" s="16"/>
    </row>
    <row r="438" spans="3:4" ht="12.5" x14ac:dyDescent="0.25">
      <c r="C438" s="20"/>
      <c r="D438" s="16"/>
    </row>
    <row r="439" spans="3:4" ht="12.5" x14ac:dyDescent="0.25">
      <c r="C439" s="20"/>
      <c r="D439" s="16"/>
    </row>
    <row r="440" spans="3:4" ht="12.5" x14ac:dyDescent="0.25">
      <c r="C440" s="20"/>
      <c r="D440" s="16"/>
    </row>
    <row r="441" spans="3:4" ht="12.5" x14ac:dyDescent="0.25">
      <c r="C441" s="20"/>
      <c r="D441" s="16"/>
    </row>
    <row r="442" spans="3:4" ht="12.5" x14ac:dyDescent="0.25">
      <c r="C442" s="20"/>
      <c r="D442" s="16"/>
    </row>
    <row r="443" spans="3:4" ht="12.5" x14ac:dyDescent="0.25">
      <c r="C443" s="20"/>
      <c r="D443" s="16"/>
    </row>
    <row r="444" spans="3:4" ht="12.5" x14ac:dyDescent="0.25">
      <c r="C444" s="20"/>
      <c r="D444" s="16"/>
    </row>
    <row r="445" spans="3:4" ht="12.5" x14ac:dyDescent="0.25">
      <c r="C445" s="20"/>
      <c r="D445" s="16"/>
    </row>
    <row r="446" spans="3:4" ht="12.5" x14ac:dyDescent="0.25">
      <c r="C446" s="20"/>
      <c r="D446" s="16"/>
    </row>
    <row r="447" spans="3:4" ht="12.5" x14ac:dyDescent="0.25">
      <c r="C447" s="20"/>
      <c r="D447" s="16"/>
    </row>
    <row r="448" spans="3:4" ht="12.5" x14ac:dyDescent="0.25">
      <c r="C448" s="20"/>
      <c r="D448" s="16"/>
    </row>
    <row r="449" spans="3:4" ht="12.5" x14ac:dyDescent="0.25">
      <c r="C449" s="20"/>
      <c r="D449" s="16"/>
    </row>
    <row r="450" spans="3:4" ht="12.5" x14ac:dyDescent="0.25">
      <c r="C450" s="20"/>
      <c r="D450" s="16"/>
    </row>
    <row r="451" spans="3:4" ht="12.5" x14ac:dyDescent="0.25">
      <c r="C451" s="20"/>
      <c r="D451" s="16"/>
    </row>
    <row r="452" spans="3:4" ht="12.5" x14ac:dyDescent="0.25">
      <c r="C452" s="20"/>
      <c r="D452" s="16"/>
    </row>
    <row r="453" spans="3:4" ht="12.5" x14ac:dyDescent="0.25">
      <c r="C453" s="20"/>
      <c r="D453" s="16"/>
    </row>
    <row r="454" spans="3:4" ht="12.5" x14ac:dyDescent="0.25">
      <c r="C454" s="20"/>
      <c r="D454" s="16"/>
    </row>
    <row r="455" spans="3:4" ht="12.5" x14ac:dyDescent="0.25">
      <c r="C455" s="20"/>
      <c r="D455" s="16"/>
    </row>
    <row r="456" spans="3:4" ht="12.5" x14ac:dyDescent="0.25">
      <c r="C456" s="20"/>
      <c r="D456" s="16"/>
    </row>
    <row r="457" spans="3:4" ht="12.5" x14ac:dyDescent="0.25">
      <c r="C457" s="20"/>
      <c r="D457" s="16"/>
    </row>
    <row r="458" spans="3:4" ht="12.5" x14ac:dyDescent="0.25">
      <c r="C458" s="20"/>
      <c r="D458" s="16"/>
    </row>
    <row r="459" spans="3:4" ht="12.5" x14ac:dyDescent="0.25">
      <c r="C459" s="20"/>
      <c r="D459" s="16"/>
    </row>
    <row r="460" spans="3:4" ht="12.5" x14ac:dyDescent="0.25">
      <c r="C460" s="20"/>
      <c r="D460" s="16"/>
    </row>
    <row r="461" spans="3:4" ht="12.5" x14ac:dyDescent="0.25">
      <c r="C461" s="20"/>
      <c r="D461" s="16"/>
    </row>
    <row r="462" spans="3:4" ht="12.5" x14ac:dyDescent="0.25">
      <c r="C462" s="20"/>
      <c r="D462" s="16"/>
    </row>
    <row r="463" spans="3:4" ht="12.5" x14ac:dyDescent="0.25">
      <c r="C463" s="20"/>
      <c r="D463" s="16"/>
    </row>
    <row r="464" spans="3:4" ht="12.5" x14ac:dyDescent="0.25">
      <c r="C464" s="20"/>
      <c r="D464" s="16"/>
    </row>
    <row r="465" spans="3:4" ht="12.5" x14ac:dyDescent="0.25">
      <c r="C465" s="20"/>
      <c r="D465" s="16"/>
    </row>
    <row r="466" spans="3:4" ht="12.5" x14ac:dyDescent="0.25">
      <c r="C466" s="20"/>
      <c r="D466" s="16"/>
    </row>
    <row r="467" spans="3:4" ht="12.5" x14ac:dyDescent="0.25">
      <c r="C467" s="20"/>
      <c r="D467" s="16"/>
    </row>
    <row r="468" spans="3:4" ht="12.5" x14ac:dyDescent="0.25">
      <c r="C468" s="20"/>
      <c r="D468" s="16"/>
    </row>
    <row r="469" spans="3:4" ht="12.5" x14ac:dyDescent="0.25">
      <c r="C469" s="20"/>
      <c r="D469" s="16"/>
    </row>
    <row r="470" spans="3:4" ht="12.5" x14ac:dyDescent="0.25">
      <c r="C470" s="20"/>
      <c r="D470" s="16"/>
    </row>
    <row r="471" spans="3:4" ht="12.5" x14ac:dyDescent="0.25">
      <c r="C471" s="20"/>
      <c r="D471" s="16"/>
    </row>
    <row r="472" spans="3:4" ht="12.5" x14ac:dyDescent="0.25">
      <c r="C472" s="20"/>
      <c r="D472" s="16"/>
    </row>
    <row r="473" spans="3:4" ht="12.5" x14ac:dyDescent="0.25">
      <c r="C473" s="20"/>
      <c r="D473" s="16"/>
    </row>
    <row r="474" spans="3:4" ht="12.5" x14ac:dyDescent="0.25">
      <c r="C474" s="20"/>
      <c r="D474" s="16"/>
    </row>
    <row r="475" spans="3:4" ht="12.5" x14ac:dyDescent="0.25">
      <c r="C475" s="20"/>
      <c r="D475" s="16"/>
    </row>
    <row r="476" spans="3:4" ht="12.5" x14ac:dyDescent="0.25">
      <c r="C476" s="20"/>
      <c r="D476" s="16"/>
    </row>
    <row r="477" spans="3:4" ht="12.5" x14ac:dyDescent="0.25">
      <c r="C477" s="20"/>
      <c r="D477" s="16"/>
    </row>
    <row r="478" spans="3:4" ht="12.5" x14ac:dyDescent="0.25">
      <c r="C478" s="20"/>
      <c r="D478" s="16"/>
    </row>
    <row r="479" spans="3:4" ht="12.5" x14ac:dyDescent="0.25">
      <c r="C479" s="20"/>
      <c r="D479" s="16"/>
    </row>
    <row r="480" spans="3:4" ht="12.5" x14ac:dyDescent="0.25">
      <c r="C480" s="20"/>
      <c r="D480" s="16"/>
    </row>
    <row r="481" spans="3:4" ht="12.5" x14ac:dyDescent="0.25">
      <c r="C481" s="20"/>
      <c r="D481" s="16"/>
    </row>
    <row r="482" spans="3:4" ht="12.5" x14ac:dyDescent="0.25">
      <c r="C482" s="20"/>
      <c r="D482" s="16"/>
    </row>
    <row r="483" spans="3:4" ht="12.5" x14ac:dyDescent="0.25">
      <c r="C483" s="20"/>
      <c r="D483" s="16"/>
    </row>
    <row r="484" spans="3:4" ht="12.5" x14ac:dyDescent="0.25">
      <c r="C484" s="20"/>
      <c r="D484" s="16"/>
    </row>
    <row r="485" spans="3:4" ht="12.5" x14ac:dyDescent="0.25">
      <c r="C485" s="20"/>
      <c r="D485" s="16"/>
    </row>
    <row r="486" spans="3:4" ht="12.5" x14ac:dyDescent="0.25">
      <c r="C486" s="20"/>
      <c r="D486" s="16"/>
    </row>
    <row r="487" spans="3:4" ht="12.5" x14ac:dyDescent="0.25">
      <c r="C487" s="20"/>
      <c r="D487" s="16"/>
    </row>
    <row r="488" spans="3:4" ht="12.5" x14ac:dyDescent="0.25">
      <c r="C488" s="20"/>
      <c r="D488" s="16"/>
    </row>
    <row r="489" spans="3:4" ht="12.5" x14ac:dyDescent="0.25">
      <c r="C489" s="20"/>
      <c r="D489" s="16"/>
    </row>
    <row r="490" spans="3:4" ht="12.5" x14ac:dyDescent="0.25">
      <c r="C490" s="20"/>
      <c r="D490" s="16"/>
    </row>
    <row r="491" spans="3:4" ht="12.5" x14ac:dyDescent="0.25">
      <c r="C491" s="20"/>
      <c r="D491" s="16"/>
    </row>
    <row r="492" spans="3:4" ht="12.5" x14ac:dyDescent="0.25">
      <c r="C492" s="20"/>
      <c r="D492" s="16"/>
    </row>
    <row r="493" spans="3:4" ht="12.5" x14ac:dyDescent="0.25">
      <c r="C493" s="20"/>
      <c r="D493" s="16"/>
    </row>
    <row r="494" spans="3:4" ht="12.5" x14ac:dyDescent="0.25">
      <c r="C494" s="20"/>
      <c r="D494" s="16"/>
    </row>
    <row r="495" spans="3:4" ht="12.5" x14ac:dyDescent="0.25">
      <c r="C495" s="20"/>
      <c r="D495" s="16"/>
    </row>
    <row r="496" spans="3:4" ht="12.5" x14ac:dyDescent="0.25">
      <c r="C496" s="20"/>
      <c r="D496" s="16"/>
    </row>
    <row r="497" spans="3:4" ht="12.5" x14ac:dyDescent="0.25">
      <c r="C497" s="20"/>
      <c r="D497" s="16"/>
    </row>
    <row r="498" spans="3:4" ht="12.5" x14ac:dyDescent="0.25">
      <c r="C498" s="20"/>
      <c r="D498" s="16"/>
    </row>
    <row r="499" spans="3:4" ht="12.5" x14ac:dyDescent="0.25">
      <c r="C499" s="20"/>
      <c r="D499" s="16"/>
    </row>
    <row r="500" spans="3:4" ht="12.5" x14ac:dyDescent="0.25">
      <c r="C500" s="20"/>
      <c r="D500" s="16"/>
    </row>
    <row r="501" spans="3:4" ht="12.5" x14ac:dyDescent="0.25">
      <c r="C501" s="20"/>
      <c r="D501" s="16"/>
    </row>
    <row r="502" spans="3:4" ht="12.5" x14ac:dyDescent="0.25">
      <c r="C502" s="20"/>
      <c r="D502" s="16"/>
    </row>
    <row r="503" spans="3:4" ht="12.5" x14ac:dyDescent="0.25">
      <c r="C503" s="20"/>
      <c r="D503" s="16"/>
    </row>
    <row r="504" spans="3:4" ht="12.5" x14ac:dyDescent="0.25">
      <c r="C504" s="20"/>
      <c r="D504" s="16"/>
    </row>
    <row r="505" spans="3:4" ht="12.5" x14ac:dyDescent="0.25">
      <c r="C505" s="20"/>
      <c r="D505" s="16"/>
    </row>
    <row r="506" spans="3:4" ht="12.5" x14ac:dyDescent="0.25">
      <c r="C506" s="20"/>
      <c r="D506" s="16"/>
    </row>
    <row r="507" spans="3:4" ht="12.5" x14ac:dyDescent="0.25">
      <c r="C507" s="20"/>
      <c r="D507" s="16"/>
    </row>
    <row r="508" spans="3:4" ht="12.5" x14ac:dyDescent="0.25">
      <c r="C508" s="20"/>
      <c r="D508" s="16"/>
    </row>
    <row r="509" spans="3:4" ht="12.5" x14ac:dyDescent="0.25">
      <c r="C509" s="20"/>
      <c r="D509" s="16"/>
    </row>
    <row r="510" spans="3:4" ht="12.5" x14ac:dyDescent="0.25">
      <c r="C510" s="20"/>
      <c r="D510" s="16"/>
    </row>
    <row r="511" spans="3:4" ht="12.5" x14ac:dyDescent="0.25">
      <c r="C511" s="20"/>
      <c r="D511" s="16"/>
    </row>
    <row r="512" spans="3:4" ht="12.5" x14ac:dyDescent="0.25">
      <c r="C512" s="20"/>
      <c r="D512" s="16"/>
    </row>
    <row r="513" spans="3:4" ht="12.5" x14ac:dyDescent="0.25">
      <c r="C513" s="20"/>
      <c r="D513" s="16"/>
    </row>
    <row r="514" spans="3:4" ht="12.5" x14ac:dyDescent="0.25">
      <c r="C514" s="20"/>
      <c r="D514" s="16"/>
    </row>
    <row r="515" spans="3:4" ht="12.5" x14ac:dyDescent="0.25">
      <c r="C515" s="20"/>
      <c r="D515" s="16"/>
    </row>
    <row r="516" spans="3:4" ht="12.5" x14ac:dyDescent="0.25">
      <c r="C516" s="20"/>
      <c r="D516" s="16"/>
    </row>
    <row r="517" spans="3:4" ht="12.5" x14ac:dyDescent="0.25">
      <c r="C517" s="20"/>
      <c r="D517" s="16"/>
    </row>
    <row r="518" spans="3:4" ht="12.5" x14ac:dyDescent="0.25">
      <c r="C518" s="20"/>
      <c r="D518" s="16"/>
    </row>
    <row r="519" spans="3:4" ht="12.5" x14ac:dyDescent="0.25">
      <c r="C519" s="20"/>
      <c r="D519" s="16"/>
    </row>
    <row r="520" spans="3:4" ht="12.5" x14ac:dyDescent="0.25">
      <c r="C520" s="20"/>
      <c r="D520" s="16"/>
    </row>
    <row r="521" spans="3:4" ht="12.5" x14ac:dyDescent="0.25">
      <c r="C521" s="20"/>
      <c r="D521" s="16"/>
    </row>
    <row r="522" spans="3:4" ht="12.5" x14ac:dyDescent="0.25">
      <c r="C522" s="20"/>
      <c r="D522" s="16"/>
    </row>
    <row r="523" spans="3:4" ht="12.5" x14ac:dyDescent="0.25">
      <c r="C523" s="20"/>
      <c r="D523" s="16"/>
    </row>
    <row r="524" spans="3:4" ht="12.5" x14ac:dyDescent="0.25">
      <c r="C524" s="20"/>
      <c r="D524" s="16"/>
    </row>
    <row r="525" spans="3:4" ht="12.5" x14ac:dyDescent="0.25">
      <c r="C525" s="20"/>
      <c r="D525" s="16"/>
    </row>
    <row r="526" spans="3:4" ht="12.5" x14ac:dyDescent="0.25">
      <c r="C526" s="20"/>
      <c r="D526" s="16"/>
    </row>
    <row r="527" spans="3:4" ht="12.5" x14ac:dyDescent="0.25">
      <c r="C527" s="20"/>
      <c r="D527" s="16"/>
    </row>
    <row r="528" spans="3:4" ht="12.5" x14ac:dyDescent="0.25">
      <c r="C528" s="20"/>
      <c r="D528" s="16"/>
    </row>
    <row r="529" spans="3:4" ht="12.5" x14ac:dyDescent="0.25">
      <c r="C529" s="20"/>
      <c r="D529" s="16"/>
    </row>
    <row r="530" spans="3:4" ht="12.5" x14ac:dyDescent="0.25">
      <c r="C530" s="20"/>
      <c r="D530" s="16"/>
    </row>
    <row r="531" spans="3:4" ht="12.5" x14ac:dyDescent="0.25">
      <c r="C531" s="20"/>
      <c r="D531" s="16"/>
    </row>
    <row r="532" spans="3:4" ht="12.5" x14ac:dyDescent="0.25">
      <c r="C532" s="20"/>
      <c r="D532" s="16"/>
    </row>
    <row r="533" spans="3:4" ht="12.5" x14ac:dyDescent="0.25">
      <c r="C533" s="20"/>
      <c r="D533" s="16"/>
    </row>
    <row r="534" spans="3:4" ht="12.5" x14ac:dyDescent="0.25">
      <c r="C534" s="20"/>
      <c r="D534" s="16"/>
    </row>
    <row r="535" spans="3:4" ht="12.5" x14ac:dyDescent="0.25">
      <c r="C535" s="20"/>
      <c r="D535" s="16"/>
    </row>
    <row r="536" spans="3:4" ht="12.5" x14ac:dyDescent="0.25">
      <c r="C536" s="20"/>
      <c r="D536" s="16"/>
    </row>
    <row r="537" spans="3:4" ht="12.5" x14ac:dyDescent="0.25">
      <c r="C537" s="20"/>
      <c r="D537" s="16"/>
    </row>
    <row r="538" spans="3:4" ht="12.5" x14ac:dyDescent="0.25">
      <c r="C538" s="20"/>
      <c r="D538" s="16"/>
    </row>
    <row r="539" spans="3:4" ht="12.5" x14ac:dyDescent="0.25">
      <c r="C539" s="20"/>
      <c r="D539" s="16"/>
    </row>
    <row r="540" spans="3:4" ht="12.5" x14ac:dyDescent="0.25">
      <c r="C540" s="20"/>
      <c r="D540" s="16"/>
    </row>
    <row r="541" spans="3:4" ht="12.5" x14ac:dyDescent="0.25">
      <c r="C541" s="20"/>
      <c r="D541" s="16"/>
    </row>
    <row r="542" spans="3:4" ht="12.5" x14ac:dyDescent="0.25">
      <c r="C542" s="20"/>
      <c r="D542" s="16"/>
    </row>
    <row r="543" spans="3:4" ht="12.5" x14ac:dyDescent="0.25">
      <c r="C543" s="20"/>
      <c r="D543" s="16"/>
    </row>
    <row r="544" spans="3:4" ht="12.5" x14ac:dyDescent="0.25">
      <c r="C544" s="20"/>
      <c r="D544" s="16"/>
    </row>
    <row r="545" spans="3:4" ht="12.5" x14ac:dyDescent="0.25">
      <c r="C545" s="20"/>
      <c r="D545" s="16"/>
    </row>
    <row r="546" spans="3:4" ht="12.5" x14ac:dyDescent="0.25">
      <c r="C546" s="20"/>
      <c r="D546" s="16"/>
    </row>
    <row r="547" spans="3:4" ht="12.5" x14ac:dyDescent="0.25">
      <c r="C547" s="20"/>
      <c r="D547" s="16"/>
    </row>
    <row r="548" spans="3:4" ht="12.5" x14ac:dyDescent="0.25">
      <c r="C548" s="20"/>
      <c r="D548" s="16"/>
    </row>
    <row r="549" spans="3:4" ht="12.5" x14ac:dyDescent="0.25">
      <c r="C549" s="20"/>
      <c r="D549" s="16"/>
    </row>
    <row r="550" spans="3:4" ht="12.5" x14ac:dyDescent="0.25">
      <c r="C550" s="20"/>
      <c r="D550" s="16"/>
    </row>
    <row r="551" spans="3:4" ht="12.5" x14ac:dyDescent="0.25">
      <c r="C551" s="20"/>
      <c r="D551" s="16"/>
    </row>
    <row r="552" spans="3:4" ht="12.5" x14ac:dyDescent="0.25">
      <c r="C552" s="20"/>
      <c r="D552" s="16"/>
    </row>
    <row r="553" spans="3:4" ht="12.5" x14ac:dyDescent="0.25">
      <c r="C553" s="20"/>
      <c r="D553" s="16"/>
    </row>
    <row r="554" spans="3:4" ht="12.5" x14ac:dyDescent="0.25">
      <c r="C554" s="20"/>
      <c r="D554" s="16"/>
    </row>
    <row r="555" spans="3:4" ht="12.5" x14ac:dyDescent="0.25">
      <c r="C555" s="20"/>
      <c r="D555" s="16"/>
    </row>
    <row r="556" spans="3:4" ht="12.5" x14ac:dyDescent="0.25">
      <c r="C556" s="20"/>
      <c r="D556" s="16"/>
    </row>
    <row r="557" spans="3:4" ht="12.5" x14ac:dyDescent="0.25">
      <c r="C557" s="20"/>
      <c r="D557" s="16"/>
    </row>
    <row r="558" spans="3:4" ht="12.5" x14ac:dyDescent="0.25">
      <c r="C558" s="20"/>
      <c r="D558" s="16"/>
    </row>
    <row r="559" spans="3:4" ht="12.5" x14ac:dyDescent="0.25">
      <c r="C559" s="20"/>
      <c r="D559" s="16"/>
    </row>
    <row r="560" spans="3:4" ht="12.5" x14ac:dyDescent="0.25">
      <c r="C560" s="20"/>
      <c r="D560" s="16"/>
    </row>
    <row r="561" spans="3:4" ht="12.5" x14ac:dyDescent="0.25">
      <c r="C561" s="20"/>
      <c r="D561" s="16"/>
    </row>
    <row r="562" spans="3:4" ht="12.5" x14ac:dyDescent="0.25">
      <c r="C562" s="20"/>
      <c r="D562" s="16"/>
    </row>
    <row r="563" spans="3:4" ht="12.5" x14ac:dyDescent="0.25">
      <c r="C563" s="20"/>
      <c r="D563" s="16"/>
    </row>
    <row r="564" spans="3:4" ht="12.5" x14ac:dyDescent="0.25">
      <c r="C564" s="20"/>
      <c r="D564" s="16"/>
    </row>
    <row r="565" spans="3:4" ht="12.5" x14ac:dyDescent="0.25">
      <c r="C565" s="20"/>
      <c r="D565" s="16"/>
    </row>
    <row r="566" spans="3:4" ht="12.5" x14ac:dyDescent="0.25">
      <c r="C566" s="20"/>
      <c r="D566" s="16"/>
    </row>
    <row r="567" spans="3:4" ht="12.5" x14ac:dyDescent="0.25">
      <c r="C567" s="20"/>
      <c r="D567" s="16"/>
    </row>
    <row r="568" spans="3:4" ht="12.5" x14ac:dyDescent="0.25">
      <c r="C568" s="20"/>
      <c r="D568" s="16"/>
    </row>
    <row r="569" spans="3:4" ht="12.5" x14ac:dyDescent="0.25">
      <c r="C569" s="20"/>
      <c r="D569" s="16"/>
    </row>
    <row r="570" spans="3:4" ht="12.5" x14ac:dyDescent="0.25">
      <c r="C570" s="20"/>
      <c r="D570" s="16"/>
    </row>
    <row r="571" spans="3:4" ht="12.5" x14ac:dyDescent="0.25">
      <c r="C571" s="20"/>
      <c r="D571" s="16"/>
    </row>
    <row r="572" spans="3:4" ht="12.5" x14ac:dyDescent="0.25">
      <c r="C572" s="20"/>
      <c r="D572" s="16"/>
    </row>
    <row r="573" spans="3:4" ht="12.5" x14ac:dyDescent="0.25">
      <c r="C573" s="20"/>
      <c r="D573" s="16"/>
    </row>
    <row r="574" spans="3:4" ht="12.5" x14ac:dyDescent="0.25">
      <c r="C574" s="20"/>
      <c r="D574" s="16"/>
    </row>
    <row r="575" spans="3:4" ht="12.5" x14ac:dyDescent="0.25">
      <c r="C575" s="20"/>
      <c r="D575" s="16"/>
    </row>
    <row r="576" spans="3:4" ht="12.5" x14ac:dyDescent="0.25">
      <c r="C576" s="20"/>
      <c r="D576" s="16"/>
    </row>
    <row r="577" spans="3:4" ht="12.5" x14ac:dyDescent="0.25">
      <c r="C577" s="20"/>
      <c r="D577" s="16"/>
    </row>
    <row r="578" spans="3:4" ht="12.5" x14ac:dyDescent="0.25">
      <c r="C578" s="20"/>
      <c r="D578" s="16"/>
    </row>
    <row r="579" spans="3:4" ht="12.5" x14ac:dyDescent="0.25">
      <c r="C579" s="20"/>
      <c r="D579" s="16"/>
    </row>
    <row r="580" spans="3:4" ht="12.5" x14ac:dyDescent="0.25">
      <c r="C580" s="20"/>
      <c r="D580" s="16"/>
    </row>
    <row r="581" spans="3:4" ht="12.5" x14ac:dyDescent="0.25">
      <c r="C581" s="20"/>
      <c r="D581" s="16"/>
    </row>
    <row r="582" spans="3:4" ht="12.5" x14ac:dyDescent="0.25">
      <c r="C582" s="20"/>
      <c r="D582" s="16"/>
    </row>
    <row r="583" spans="3:4" ht="12.5" x14ac:dyDescent="0.25">
      <c r="C583" s="20"/>
      <c r="D583" s="16"/>
    </row>
    <row r="584" spans="3:4" ht="12.5" x14ac:dyDescent="0.25">
      <c r="C584" s="20"/>
      <c r="D584" s="16"/>
    </row>
    <row r="585" spans="3:4" ht="12.5" x14ac:dyDescent="0.25">
      <c r="C585" s="20"/>
      <c r="D585" s="16"/>
    </row>
    <row r="586" spans="3:4" ht="12.5" x14ac:dyDescent="0.25">
      <c r="C586" s="20"/>
      <c r="D586" s="16"/>
    </row>
    <row r="587" spans="3:4" ht="12.5" x14ac:dyDescent="0.25">
      <c r="C587" s="20"/>
      <c r="D587" s="16"/>
    </row>
    <row r="588" spans="3:4" ht="12.5" x14ac:dyDescent="0.25">
      <c r="C588" s="20"/>
      <c r="D588" s="16"/>
    </row>
    <row r="589" spans="3:4" ht="12.5" x14ac:dyDescent="0.25">
      <c r="C589" s="20"/>
      <c r="D589" s="16"/>
    </row>
    <row r="590" spans="3:4" ht="12.5" x14ac:dyDescent="0.25">
      <c r="C590" s="20"/>
      <c r="D590" s="16"/>
    </row>
    <row r="591" spans="3:4" ht="12.5" x14ac:dyDescent="0.25">
      <c r="C591" s="20"/>
      <c r="D591" s="16"/>
    </row>
    <row r="592" spans="3:4" ht="12.5" x14ac:dyDescent="0.25">
      <c r="C592" s="20"/>
      <c r="D592" s="16"/>
    </row>
    <row r="593" spans="3:4" ht="12.5" x14ac:dyDescent="0.25">
      <c r="C593" s="20"/>
      <c r="D593" s="16"/>
    </row>
    <row r="594" spans="3:4" ht="12.5" x14ac:dyDescent="0.25">
      <c r="C594" s="20"/>
      <c r="D594" s="16"/>
    </row>
    <row r="595" spans="3:4" ht="12.5" x14ac:dyDescent="0.25">
      <c r="C595" s="20"/>
      <c r="D595" s="16"/>
    </row>
    <row r="596" spans="3:4" ht="12.5" x14ac:dyDescent="0.25">
      <c r="C596" s="20"/>
      <c r="D596" s="16"/>
    </row>
    <row r="597" spans="3:4" ht="12.5" x14ac:dyDescent="0.25">
      <c r="C597" s="20"/>
      <c r="D597" s="16"/>
    </row>
    <row r="598" spans="3:4" ht="12.5" x14ac:dyDescent="0.25">
      <c r="C598" s="20"/>
      <c r="D598" s="16"/>
    </row>
    <row r="599" spans="3:4" ht="12.5" x14ac:dyDescent="0.25">
      <c r="C599" s="20"/>
      <c r="D599" s="16"/>
    </row>
    <row r="600" spans="3:4" ht="12.5" x14ac:dyDescent="0.25">
      <c r="C600" s="20"/>
      <c r="D600" s="16"/>
    </row>
    <row r="601" spans="3:4" ht="12.5" x14ac:dyDescent="0.25">
      <c r="C601" s="20"/>
      <c r="D601" s="16"/>
    </row>
    <row r="602" spans="3:4" ht="12.5" x14ac:dyDescent="0.25">
      <c r="C602" s="20"/>
      <c r="D602" s="16"/>
    </row>
    <row r="603" spans="3:4" ht="12.5" x14ac:dyDescent="0.25">
      <c r="C603" s="20"/>
      <c r="D603" s="16"/>
    </row>
    <row r="604" spans="3:4" ht="12.5" x14ac:dyDescent="0.25">
      <c r="C604" s="20"/>
      <c r="D604" s="16"/>
    </row>
    <row r="605" spans="3:4" ht="12.5" x14ac:dyDescent="0.25">
      <c r="C605" s="20"/>
      <c r="D605" s="16"/>
    </row>
    <row r="606" spans="3:4" ht="12.5" x14ac:dyDescent="0.25">
      <c r="C606" s="20"/>
      <c r="D606" s="16"/>
    </row>
    <row r="607" spans="3:4" ht="12.5" x14ac:dyDescent="0.25">
      <c r="C607" s="20"/>
      <c r="D607" s="16"/>
    </row>
    <row r="608" spans="3:4" ht="12.5" x14ac:dyDescent="0.25">
      <c r="C608" s="20"/>
      <c r="D608" s="16"/>
    </row>
    <row r="609" spans="3:4" ht="12.5" x14ac:dyDescent="0.25">
      <c r="C609" s="20"/>
      <c r="D609" s="16"/>
    </row>
    <row r="610" spans="3:4" ht="12.5" x14ac:dyDescent="0.25">
      <c r="C610" s="20"/>
      <c r="D610" s="16"/>
    </row>
    <row r="611" spans="3:4" ht="12.5" x14ac:dyDescent="0.25">
      <c r="C611" s="20"/>
      <c r="D611" s="16"/>
    </row>
    <row r="612" spans="3:4" ht="12.5" x14ac:dyDescent="0.25">
      <c r="C612" s="20"/>
      <c r="D612" s="16"/>
    </row>
    <row r="613" spans="3:4" ht="12.5" x14ac:dyDescent="0.25">
      <c r="C613" s="20"/>
      <c r="D613" s="16"/>
    </row>
    <row r="614" spans="3:4" ht="12.5" x14ac:dyDescent="0.25">
      <c r="C614" s="20"/>
      <c r="D614" s="16"/>
    </row>
    <row r="615" spans="3:4" ht="12.5" x14ac:dyDescent="0.25">
      <c r="C615" s="20"/>
      <c r="D615" s="16"/>
    </row>
    <row r="616" spans="3:4" ht="12.5" x14ac:dyDescent="0.25">
      <c r="C616" s="20"/>
      <c r="D616" s="16"/>
    </row>
    <row r="617" spans="3:4" ht="12.5" x14ac:dyDescent="0.25">
      <c r="C617" s="20"/>
      <c r="D617" s="16"/>
    </row>
    <row r="618" spans="3:4" ht="12.5" x14ac:dyDescent="0.25">
      <c r="C618" s="20"/>
      <c r="D618" s="16"/>
    </row>
    <row r="619" spans="3:4" ht="12.5" x14ac:dyDescent="0.25">
      <c r="C619" s="20"/>
      <c r="D619" s="16"/>
    </row>
    <row r="620" spans="3:4" ht="12.5" x14ac:dyDescent="0.25">
      <c r="C620" s="20"/>
      <c r="D620" s="16"/>
    </row>
    <row r="621" spans="3:4" ht="12.5" x14ac:dyDescent="0.25">
      <c r="C621" s="20"/>
      <c r="D621" s="16"/>
    </row>
    <row r="622" spans="3:4" ht="12.5" x14ac:dyDescent="0.25">
      <c r="C622" s="20"/>
      <c r="D622" s="16"/>
    </row>
    <row r="623" spans="3:4" ht="12.5" x14ac:dyDescent="0.25">
      <c r="C623" s="20"/>
      <c r="D623" s="16"/>
    </row>
    <row r="624" spans="3:4" ht="12.5" x14ac:dyDescent="0.25">
      <c r="C624" s="20"/>
      <c r="D624" s="16"/>
    </row>
    <row r="625" spans="3:4" ht="12.5" x14ac:dyDescent="0.25">
      <c r="C625" s="20"/>
      <c r="D625" s="16"/>
    </row>
    <row r="626" spans="3:4" ht="12.5" x14ac:dyDescent="0.25">
      <c r="C626" s="20"/>
      <c r="D626" s="16"/>
    </row>
    <row r="627" spans="3:4" ht="12.5" x14ac:dyDescent="0.25">
      <c r="C627" s="20"/>
      <c r="D627" s="16"/>
    </row>
    <row r="628" spans="3:4" ht="12.5" x14ac:dyDescent="0.25">
      <c r="C628" s="20"/>
      <c r="D628" s="16"/>
    </row>
    <row r="629" spans="3:4" ht="12.5" x14ac:dyDescent="0.25">
      <c r="C629" s="20"/>
      <c r="D629" s="16"/>
    </row>
    <row r="630" spans="3:4" ht="12.5" x14ac:dyDescent="0.25">
      <c r="C630" s="20"/>
      <c r="D630" s="16"/>
    </row>
    <row r="631" spans="3:4" ht="12.5" x14ac:dyDescent="0.25">
      <c r="C631" s="20"/>
      <c r="D631" s="16"/>
    </row>
    <row r="632" spans="3:4" ht="12.5" x14ac:dyDescent="0.25">
      <c r="C632" s="20"/>
      <c r="D632" s="16"/>
    </row>
    <row r="633" spans="3:4" ht="12.5" x14ac:dyDescent="0.25">
      <c r="C633" s="20"/>
      <c r="D633" s="16"/>
    </row>
    <row r="634" spans="3:4" ht="12.5" x14ac:dyDescent="0.25">
      <c r="C634" s="20"/>
      <c r="D634" s="16"/>
    </row>
    <row r="635" spans="3:4" ht="12.5" x14ac:dyDescent="0.25">
      <c r="C635" s="20"/>
      <c r="D635" s="16"/>
    </row>
    <row r="636" spans="3:4" ht="12.5" x14ac:dyDescent="0.25">
      <c r="C636" s="20"/>
      <c r="D636" s="16"/>
    </row>
    <row r="637" spans="3:4" ht="12.5" x14ac:dyDescent="0.25">
      <c r="C637" s="20"/>
      <c r="D637" s="16"/>
    </row>
    <row r="638" spans="3:4" ht="12.5" x14ac:dyDescent="0.25">
      <c r="C638" s="20"/>
      <c r="D638" s="16"/>
    </row>
    <row r="639" spans="3:4" ht="12.5" x14ac:dyDescent="0.25">
      <c r="C639" s="20"/>
      <c r="D639" s="16"/>
    </row>
    <row r="640" spans="3:4" ht="12.5" x14ac:dyDescent="0.25">
      <c r="C640" s="20"/>
      <c r="D640" s="16"/>
    </row>
    <row r="641" spans="3:4" ht="12.5" x14ac:dyDescent="0.25">
      <c r="C641" s="20"/>
      <c r="D641" s="16"/>
    </row>
    <row r="642" spans="3:4" ht="12.5" x14ac:dyDescent="0.25">
      <c r="C642" s="20"/>
      <c r="D642" s="16"/>
    </row>
    <row r="643" spans="3:4" ht="12.5" x14ac:dyDescent="0.25">
      <c r="C643" s="20"/>
      <c r="D643" s="16"/>
    </row>
    <row r="644" spans="3:4" ht="12.5" x14ac:dyDescent="0.25">
      <c r="C644" s="20"/>
      <c r="D644" s="16"/>
    </row>
    <row r="645" spans="3:4" ht="12.5" x14ac:dyDescent="0.25">
      <c r="C645" s="20"/>
      <c r="D645" s="16"/>
    </row>
    <row r="646" spans="3:4" ht="12.5" x14ac:dyDescent="0.25">
      <c r="C646" s="20"/>
      <c r="D646" s="16"/>
    </row>
    <row r="647" spans="3:4" ht="12.5" x14ac:dyDescent="0.25">
      <c r="C647" s="20"/>
      <c r="D647" s="16"/>
    </row>
    <row r="648" spans="3:4" ht="12.5" x14ac:dyDescent="0.25">
      <c r="C648" s="20"/>
      <c r="D648" s="16"/>
    </row>
    <row r="649" spans="3:4" ht="12.5" x14ac:dyDescent="0.25">
      <c r="C649" s="20"/>
      <c r="D649" s="16"/>
    </row>
    <row r="650" spans="3:4" ht="12.5" x14ac:dyDescent="0.25">
      <c r="C650" s="20"/>
      <c r="D650" s="16"/>
    </row>
    <row r="651" spans="3:4" ht="12.5" x14ac:dyDescent="0.25">
      <c r="C651" s="20"/>
      <c r="D651" s="16"/>
    </row>
    <row r="652" spans="3:4" ht="12.5" x14ac:dyDescent="0.25">
      <c r="C652" s="20"/>
      <c r="D652" s="16"/>
    </row>
    <row r="653" spans="3:4" ht="12.5" x14ac:dyDescent="0.25">
      <c r="C653" s="20"/>
      <c r="D653" s="16"/>
    </row>
    <row r="654" spans="3:4" ht="12.5" x14ac:dyDescent="0.25">
      <c r="C654" s="20"/>
      <c r="D654" s="16"/>
    </row>
    <row r="655" spans="3:4" ht="12.5" x14ac:dyDescent="0.25">
      <c r="C655" s="20"/>
      <c r="D655" s="16"/>
    </row>
    <row r="656" spans="3:4" ht="12.5" x14ac:dyDescent="0.25">
      <c r="C656" s="20"/>
      <c r="D656" s="16"/>
    </row>
    <row r="657" spans="3:4" ht="12.5" x14ac:dyDescent="0.25">
      <c r="C657" s="20"/>
      <c r="D657" s="16"/>
    </row>
    <row r="658" spans="3:4" ht="12.5" x14ac:dyDescent="0.25">
      <c r="C658" s="20"/>
      <c r="D658" s="16"/>
    </row>
    <row r="659" spans="3:4" ht="12.5" x14ac:dyDescent="0.25">
      <c r="C659" s="20"/>
      <c r="D659" s="16"/>
    </row>
    <row r="660" spans="3:4" ht="12.5" x14ac:dyDescent="0.25">
      <c r="C660" s="20"/>
      <c r="D660" s="16"/>
    </row>
    <row r="661" spans="3:4" ht="12.5" x14ac:dyDescent="0.25">
      <c r="C661" s="20"/>
      <c r="D661" s="16"/>
    </row>
    <row r="662" spans="3:4" ht="12.5" x14ac:dyDescent="0.25">
      <c r="C662" s="20"/>
      <c r="D662" s="16"/>
    </row>
    <row r="663" spans="3:4" ht="12.5" x14ac:dyDescent="0.25">
      <c r="C663" s="20"/>
      <c r="D663" s="16"/>
    </row>
    <row r="664" spans="3:4" ht="12.5" x14ac:dyDescent="0.25">
      <c r="C664" s="20"/>
      <c r="D664" s="16"/>
    </row>
    <row r="665" spans="3:4" ht="12.5" x14ac:dyDescent="0.25">
      <c r="C665" s="20"/>
      <c r="D665" s="16"/>
    </row>
    <row r="666" spans="3:4" ht="12.5" x14ac:dyDescent="0.25">
      <c r="C666" s="20"/>
      <c r="D666" s="16"/>
    </row>
    <row r="667" spans="3:4" ht="12.5" x14ac:dyDescent="0.25">
      <c r="C667" s="20"/>
      <c r="D667" s="16"/>
    </row>
    <row r="668" spans="3:4" ht="12.5" x14ac:dyDescent="0.25">
      <c r="C668" s="20"/>
      <c r="D668" s="16"/>
    </row>
    <row r="669" spans="3:4" ht="12.5" x14ac:dyDescent="0.25">
      <c r="C669" s="20"/>
      <c r="D669" s="16"/>
    </row>
    <row r="670" spans="3:4" ht="12.5" x14ac:dyDescent="0.25">
      <c r="C670" s="20"/>
      <c r="D670" s="16"/>
    </row>
    <row r="671" spans="3:4" ht="12.5" x14ac:dyDescent="0.25">
      <c r="C671" s="20"/>
      <c r="D671" s="16"/>
    </row>
    <row r="672" spans="3:4" ht="12.5" x14ac:dyDescent="0.25">
      <c r="C672" s="20"/>
      <c r="D672" s="16"/>
    </row>
    <row r="673" spans="3:4" ht="12.5" x14ac:dyDescent="0.25">
      <c r="C673" s="20"/>
      <c r="D673" s="16"/>
    </row>
    <row r="674" spans="3:4" ht="12.5" x14ac:dyDescent="0.25">
      <c r="C674" s="20"/>
      <c r="D674" s="16"/>
    </row>
    <row r="675" spans="3:4" ht="12.5" x14ac:dyDescent="0.25">
      <c r="C675" s="20"/>
      <c r="D675" s="16"/>
    </row>
    <row r="676" spans="3:4" ht="12.5" x14ac:dyDescent="0.25">
      <c r="C676" s="20"/>
      <c r="D676" s="16"/>
    </row>
    <row r="677" spans="3:4" ht="12.5" x14ac:dyDescent="0.25">
      <c r="C677" s="20"/>
      <c r="D677" s="16"/>
    </row>
    <row r="678" spans="3:4" ht="12.5" x14ac:dyDescent="0.25">
      <c r="C678" s="20"/>
      <c r="D678" s="16"/>
    </row>
    <row r="679" spans="3:4" ht="12.5" x14ac:dyDescent="0.25">
      <c r="C679" s="20"/>
      <c r="D679" s="16"/>
    </row>
    <row r="680" spans="3:4" ht="12.5" x14ac:dyDescent="0.25">
      <c r="C680" s="20"/>
      <c r="D680" s="16"/>
    </row>
    <row r="681" spans="3:4" ht="12.5" x14ac:dyDescent="0.25">
      <c r="C681" s="20"/>
      <c r="D681" s="16"/>
    </row>
    <row r="682" spans="3:4" ht="12.5" x14ac:dyDescent="0.25">
      <c r="C682" s="20"/>
      <c r="D682" s="16"/>
    </row>
    <row r="683" spans="3:4" ht="12.5" x14ac:dyDescent="0.25">
      <c r="C683" s="20"/>
      <c r="D683" s="16"/>
    </row>
    <row r="684" spans="3:4" ht="12.5" x14ac:dyDescent="0.25">
      <c r="C684" s="20"/>
      <c r="D684" s="16"/>
    </row>
    <row r="685" spans="3:4" ht="12.5" x14ac:dyDescent="0.25">
      <c r="C685" s="20"/>
      <c r="D685" s="16"/>
    </row>
    <row r="686" spans="3:4" ht="12.5" x14ac:dyDescent="0.25">
      <c r="C686" s="20"/>
      <c r="D686" s="16"/>
    </row>
    <row r="687" spans="3:4" ht="12.5" x14ac:dyDescent="0.25">
      <c r="C687" s="20"/>
      <c r="D687" s="16"/>
    </row>
    <row r="688" spans="3:4" ht="12.5" x14ac:dyDescent="0.25">
      <c r="C688" s="20"/>
      <c r="D688" s="16"/>
    </row>
    <row r="689" spans="3:4" ht="12.5" x14ac:dyDescent="0.25">
      <c r="C689" s="20"/>
      <c r="D689" s="16"/>
    </row>
    <row r="690" spans="3:4" ht="12.5" x14ac:dyDescent="0.25">
      <c r="C690" s="20"/>
      <c r="D690" s="16"/>
    </row>
    <row r="691" spans="3:4" ht="12.5" x14ac:dyDescent="0.25">
      <c r="C691" s="20"/>
      <c r="D691" s="16"/>
    </row>
    <row r="692" spans="3:4" ht="12.5" x14ac:dyDescent="0.25">
      <c r="C692" s="20"/>
      <c r="D692" s="16"/>
    </row>
    <row r="693" spans="3:4" ht="12.5" x14ac:dyDescent="0.25">
      <c r="C693" s="20"/>
      <c r="D693" s="16"/>
    </row>
    <row r="694" spans="3:4" ht="12.5" x14ac:dyDescent="0.25">
      <c r="C694" s="20"/>
      <c r="D694" s="16"/>
    </row>
    <row r="695" spans="3:4" ht="12.5" x14ac:dyDescent="0.25">
      <c r="C695" s="20"/>
      <c r="D695" s="16"/>
    </row>
    <row r="696" spans="3:4" ht="12.5" x14ac:dyDescent="0.25">
      <c r="C696" s="20"/>
      <c r="D696" s="16"/>
    </row>
    <row r="697" spans="3:4" ht="12.5" x14ac:dyDescent="0.25">
      <c r="C697" s="20"/>
      <c r="D697" s="16"/>
    </row>
    <row r="698" spans="3:4" ht="12.5" x14ac:dyDescent="0.25">
      <c r="C698" s="20"/>
      <c r="D698" s="16"/>
    </row>
    <row r="699" spans="3:4" ht="12.5" x14ac:dyDescent="0.25">
      <c r="C699" s="20"/>
      <c r="D699" s="16"/>
    </row>
    <row r="700" spans="3:4" ht="12.5" x14ac:dyDescent="0.25">
      <c r="C700" s="20"/>
      <c r="D700" s="16"/>
    </row>
    <row r="701" spans="3:4" ht="12.5" x14ac:dyDescent="0.25">
      <c r="C701" s="20"/>
      <c r="D701" s="16"/>
    </row>
    <row r="702" spans="3:4" ht="12.5" x14ac:dyDescent="0.25">
      <c r="C702" s="20"/>
      <c r="D702" s="16"/>
    </row>
    <row r="703" spans="3:4" ht="12.5" x14ac:dyDescent="0.25">
      <c r="C703" s="20"/>
      <c r="D703" s="16"/>
    </row>
    <row r="704" spans="3:4" ht="12.5" x14ac:dyDescent="0.25">
      <c r="C704" s="20"/>
      <c r="D704" s="16"/>
    </row>
    <row r="705" spans="3:4" ht="12.5" x14ac:dyDescent="0.25">
      <c r="C705" s="20"/>
      <c r="D705" s="16"/>
    </row>
    <row r="706" spans="3:4" ht="12.5" x14ac:dyDescent="0.25">
      <c r="C706" s="20"/>
      <c r="D706" s="16"/>
    </row>
    <row r="707" spans="3:4" ht="12.5" x14ac:dyDescent="0.25">
      <c r="C707" s="20"/>
      <c r="D707" s="16"/>
    </row>
    <row r="708" spans="3:4" ht="12.5" x14ac:dyDescent="0.25">
      <c r="C708" s="20"/>
      <c r="D708" s="16"/>
    </row>
    <row r="709" spans="3:4" ht="12.5" x14ac:dyDescent="0.25">
      <c r="C709" s="20"/>
      <c r="D709" s="16"/>
    </row>
    <row r="710" spans="3:4" ht="12.5" x14ac:dyDescent="0.25">
      <c r="C710" s="20"/>
      <c r="D710" s="16"/>
    </row>
    <row r="711" spans="3:4" ht="12.5" x14ac:dyDescent="0.25">
      <c r="C711" s="20"/>
      <c r="D711" s="16"/>
    </row>
    <row r="712" spans="3:4" ht="12.5" x14ac:dyDescent="0.25">
      <c r="C712" s="20"/>
      <c r="D712" s="16"/>
    </row>
    <row r="713" spans="3:4" ht="12.5" x14ac:dyDescent="0.25">
      <c r="C713" s="20"/>
      <c r="D713" s="16"/>
    </row>
    <row r="714" spans="3:4" ht="12.5" x14ac:dyDescent="0.25">
      <c r="C714" s="20"/>
      <c r="D714" s="16"/>
    </row>
    <row r="715" spans="3:4" ht="12.5" x14ac:dyDescent="0.25">
      <c r="C715" s="20"/>
      <c r="D715" s="16"/>
    </row>
    <row r="716" spans="3:4" ht="12.5" x14ac:dyDescent="0.25">
      <c r="C716" s="20"/>
      <c r="D716" s="16"/>
    </row>
    <row r="717" spans="3:4" ht="12.5" x14ac:dyDescent="0.25">
      <c r="C717" s="20"/>
      <c r="D717" s="16"/>
    </row>
    <row r="718" spans="3:4" ht="12.5" x14ac:dyDescent="0.25">
      <c r="C718" s="20"/>
      <c r="D718" s="16"/>
    </row>
    <row r="719" spans="3:4" ht="12.5" x14ac:dyDescent="0.25">
      <c r="C719" s="20"/>
      <c r="D719" s="16"/>
    </row>
    <row r="720" spans="3:4" ht="12.5" x14ac:dyDescent="0.25">
      <c r="C720" s="20"/>
      <c r="D720" s="16"/>
    </row>
    <row r="721" spans="3:4" ht="12.5" x14ac:dyDescent="0.25">
      <c r="C721" s="20"/>
      <c r="D721" s="16"/>
    </row>
    <row r="722" spans="3:4" ht="12.5" x14ac:dyDescent="0.25">
      <c r="C722" s="20"/>
      <c r="D722" s="16"/>
    </row>
    <row r="723" spans="3:4" ht="12.5" x14ac:dyDescent="0.25">
      <c r="C723" s="20"/>
      <c r="D723" s="16"/>
    </row>
    <row r="724" spans="3:4" ht="12.5" x14ac:dyDescent="0.25">
      <c r="C724" s="20"/>
      <c r="D724" s="16"/>
    </row>
    <row r="725" spans="3:4" ht="12.5" x14ac:dyDescent="0.25">
      <c r="C725" s="20"/>
      <c r="D725" s="16"/>
    </row>
    <row r="726" spans="3:4" ht="12.5" x14ac:dyDescent="0.25">
      <c r="C726" s="20"/>
      <c r="D726" s="16"/>
    </row>
    <row r="727" spans="3:4" ht="12.5" x14ac:dyDescent="0.25">
      <c r="C727" s="20"/>
      <c r="D727" s="16"/>
    </row>
    <row r="728" spans="3:4" ht="12.5" x14ac:dyDescent="0.25">
      <c r="C728" s="20"/>
      <c r="D728" s="16"/>
    </row>
    <row r="729" spans="3:4" ht="12.5" x14ac:dyDescent="0.25">
      <c r="C729" s="20"/>
      <c r="D729" s="16"/>
    </row>
    <row r="730" spans="3:4" ht="12.5" x14ac:dyDescent="0.25">
      <c r="C730" s="20"/>
      <c r="D730" s="16"/>
    </row>
    <row r="731" spans="3:4" ht="12.5" x14ac:dyDescent="0.25">
      <c r="C731" s="20"/>
      <c r="D731" s="16"/>
    </row>
    <row r="732" spans="3:4" ht="12.5" x14ac:dyDescent="0.25">
      <c r="C732" s="20"/>
      <c r="D732" s="16"/>
    </row>
    <row r="733" spans="3:4" ht="12.5" x14ac:dyDescent="0.25">
      <c r="C733" s="20"/>
      <c r="D733" s="16"/>
    </row>
    <row r="734" spans="3:4" ht="12.5" x14ac:dyDescent="0.25">
      <c r="C734" s="20"/>
      <c r="D734" s="16"/>
    </row>
    <row r="735" spans="3:4" ht="12.5" x14ac:dyDescent="0.25">
      <c r="C735" s="20"/>
      <c r="D735" s="16"/>
    </row>
    <row r="736" spans="3:4" ht="12.5" x14ac:dyDescent="0.25">
      <c r="C736" s="20"/>
      <c r="D736" s="16"/>
    </row>
    <row r="737" spans="3:4" ht="12.5" x14ac:dyDescent="0.25">
      <c r="C737" s="20"/>
      <c r="D737" s="16"/>
    </row>
    <row r="738" spans="3:4" ht="12.5" x14ac:dyDescent="0.25">
      <c r="C738" s="20"/>
      <c r="D738" s="16"/>
    </row>
    <row r="739" spans="3:4" ht="12.5" x14ac:dyDescent="0.25">
      <c r="C739" s="20"/>
      <c r="D739" s="16"/>
    </row>
    <row r="740" spans="3:4" ht="12.5" x14ac:dyDescent="0.25">
      <c r="C740" s="20"/>
      <c r="D740" s="16"/>
    </row>
    <row r="741" spans="3:4" ht="12.5" x14ac:dyDescent="0.25">
      <c r="C741" s="20"/>
      <c r="D741" s="16"/>
    </row>
    <row r="742" spans="3:4" ht="12.5" x14ac:dyDescent="0.25">
      <c r="C742" s="20"/>
      <c r="D742" s="16"/>
    </row>
    <row r="743" spans="3:4" ht="12.5" x14ac:dyDescent="0.25">
      <c r="C743" s="20"/>
      <c r="D743" s="16"/>
    </row>
    <row r="744" spans="3:4" ht="12.5" x14ac:dyDescent="0.25">
      <c r="C744" s="20"/>
      <c r="D744" s="16"/>
    </row>
    <row r="745" spans="3:4" ht="12.5" x14ac:dyDescent="0.25">
      <c r="C745" s="20"/>
      <c r="D745" s="16"/>
    </row>
    <row r="746" spans="3:4" ht="12.5" x14ac:dyDescent="0.25">
      <c r="C746" s="20"/>
      <c r="D746" s="16"/>
    </row>
    <row r="747" spans="3:4" ht="12.5" x14ac:dyDescent="0.25">
      <c r="C747" s="20"/>
      <c r="D747" s="16"/>
    </row>
    <row r="748" spans="3:4" ht="12.5" x14ac:dyDescent="0.25">
      <c r="C748" s="20"/>
      <c r="D748" s="16"/>
    </row>
    <row r="749" spans="3:4" ht="12.5" x14ac:dyDescent="0.25">
      <c r="C749" s="20"/>
      <c r="D749" s="16"/>
    </row>
    <row r="750" spans="3:4" ht="12.5" x14ac:dyDescent="0.25">
      <c r="C750" s="20"/>
      <c r="D750" s="16"/>
    </row>
    <row r="751" spans="3:4" ht="12.5" x14ac:dyDescent="0.25">
      <c r="C751" s="20"/>
      <c r="D751" s="16"/>
    </row>
    <row r="752" spans="3:4" ht="12.5" x14ac:dyDescent="0.25">
      <c r="C752" s="20"/>
      <c r="D752" s="16"/>
    </row>
    <row r="753" spans="3:4" ht="12.5" x14ac:dyDescent="0.25">
      <c r="C753" s="20"/>
      <c r="D753" s="16"/>
    </row>
    <row r="754" spans="3:4" ht="12.5" x14ac:dyDescent="0.25">
      <c r="C754" s="20"/>
      <c r="D754" s="16"/>
    </row>
    <row r="755" spans="3:4" ht="12.5" x14ac:dyDescent="0.25">
      <c r="C755" s="20"/>
      <c r="D755" s="16"/>
    </row>
    <row r="756" spans="3:4" ht="12.5" x14ac:dyDescent="0.25">
      <c r="C756" s="20"/>
      <c r="D756" s="16"/>
    </row>
    <row r="757" spans="3:4" ht="12.5" x14ac:dyDescent="0.25">
      <c r="C757" s="20"/>
      <c r="D757" s="16"/>
    </row>
    <row r="758" spans="3:4" ht="12.5" x14ac:dyDescent="0.25">
      <c r="C758" s="20"/>
      <c r="D758" s="16"/>
    </row>
    <row r="759" spans="3:4" ht="12.5" x14ac:dyDescent="0.25">
      <c r="C759" s="20"/>
      <c r="D759" s="16"/>
    </row>
    <row r="760" spans="3:4" ht="12.5" x14ac:dyDescent="0.25">
      <c r="C760" s="20"/>
      <c r="D760" s="16"/>
    </row>
    <row r="761" spans="3:4" ht="12.5" x14ac:dyDescent="0.25">
      <c r="C761" s="20"/>
      <c r="D761" s="16"/>
    </row>
    <row r="762" spans="3:4" ht="12.5" x14ac:dyDescent="0.25">
      <c r="C762" s="20"/>
      <c r="D762" s="16"/>
    </row>
    <row r="763" spans="3:4" ht="12.5" x14ac:dyDescent="0.25">
      <c r="C763" s="20"/>
      <c r="D763" s="16"/>
    </row>
    <row r="764" spans="3:4" ht="12.5" x14ac:dyDescent="0.25">
      <c r="C764" s="20"/>
      <c r="D764" s="16"/>
    </row>
    <row r="765" spans="3:4" ht="12.5" x14ac:dyDescent="0.25">
      <c r="C765" s="20"/>
      <c r="D765" s="16"/>
    </row>
    <row r="766" spans="3:4" ht="12.5" x14ac:dyDescent="0.25">
      <c r="C766" s="20"/>
      <c r="D766" s="16"/>
    </row>
    <row r="767" spans="3:4" ht="12.5" x14ac:dyDescent="0.25">
      <c r="C767" s="20"/>
      <c r="D767" s="16"/>
    </row>
    <row r="768" spans="3:4" ht="12.5" x14ac:dyDescent="0.25">
      <c r="C768" s="20"/>
      <c r="D768" s="16"/>
    </row>
    <row r="769" spans="3:4" ht="12.5" x14ac:dyDescent="0.25">
      <c r="C769" s="20"/>
      <c r="D769" s="16"/>
    </row>
    <row r="770" spans="3:4" ht="12.5" x14ac:dyDescent="0.25">
      <c r="C770" s="20"/>
      <c r="D770" s="16"/>
    </row>
    <row r="771" spans="3:4" ht="12.5" x14ac:dyDescent="0.25">
      <c r="C771" s="20"/>
      <c r="D771" s="16"/>
    </row>
    <row r="772" spans="3:4" ht="12.5" x14ac:dyDescent="0.25">
      <c r="C772" s="20"/>
      <c r="D772" s="16"/>
    </row>
    <row r="773" spans="3:4" ht="12.5" x14ac:dyDescent="0.25">
      <c r="C773" s="20"/>
      <c r="D773" s="16"/>
    </row>
    <row r="774" spans="3:4" ht="12.5" x14ac:dyDescent="0.25">
      <c r="C774" s="20"/>
      <c r="D774" s="16"/>
    </row>
    <row r="775" spans="3:4" ht="12.5" x14ac:dyDescent="0.25">
      <c r="C775" s="20"/>
      <c r="D775" s="16"/>
    </row>
    <row r="776" spans="3:4" ht="12.5" x14ac:dyDescent="0.25">
      <c r="C776" s="20"/>
      <c r="D776" s="16"/>
    </row>
    <row r="777" spans="3:4" ht="12.5" x14ac:dyDescent="0.25">
      <c r="C777" s="20"/>
      <c r="D777" s="16"/>
    </row>
    <row r="778" spans="3:4" ht="12.5" x14ac:dyDescent="0.25">
      <c r="C778" s="20"/>
      <c r="D778" s="16"/>
    </row>
    <row r="779" spans="3:4" ht="12.5" x14ac:dyDescent="0.25">
      <c r="C779" s="20"/>
      <c r="D779" s="16"/>
    </row>
    <row r="780" spans="3:4" ht="12.5" x14ac:dyDescent="0.25">
      <c r="C780" s="20"/>
      <c r="D780" s="16"/>
    </row>
    <row r="781" spans="3:4" ht="12.5" x14ac:dyDescent="0.25">
      <c r="C781" s="20"/>
      <c r="D781" s="16"/>
    </row>
    <row r="782" spans="3:4" ht="12.5" x14ac:dyDescent="0.25">
      <c r="C782" s="20"/>
      <c r="D782" s="16"/>
    </row>
    <row r="783" spans="3:4" ht="12.5" x14ac:dyDescent="0.25">
      <c r="C783" s="20"/>
      <c r="D783" s="16"/>
    </row>
    <row r="784" spans="3:4" ht="12.5" x14ac:dyDescent="0.25">
      <c r="C784" s="20"/>
      <c r="D784" s="16"/>
    </row>
    <row r="785" spans="3:4" ht="12.5" x14ac:dyDescent="0.25">
      <c r="C785" s="20"/>
      <c r="D785" s="16"/>
    </row>
    <row r="786" spans="3:4" ht="12.5" x14ac:dyDescent="0.25">
      <c r="C786" s="20"/>
      <c r="D786" s="16"/>
    </row>
    <row r="787" spans="3:4" ht="12.5" x14ac:dyDescent="0.25">
      <c r="C787" s="20"/>
      <c r="D787" s="16"/>
    </row>
    <row r="788" spans="3:4" ht="12.5" x14ac:dyDescent="0.25">
      <c r="C788" s="20"/>
      <c r="D788" s="16"/>
    </row>
    <row r="789" spans="3:4" ht="12.5" x14ac:dyDescent="0.25">
      <c r="C789" s="20"/>
      <c r="D789" s="16"/>
    </row>
    <row r="790" spans="3:4" ht="12.5" x14ac:dyDescent="0.25">
      <c r="C790" s="20"/>
      <c r="D790" s="16"/>
    </row>
    <row r="791" spans="3:4" ht="12.5" x14ac:dyDescent="0.25">
      <c r="C791" s="20"/>
      <c r="D791" s="16"/>
    </row>
    <row r="792" spans="3:4" ht="12.5" x14ac:dyDescent="0.25">
      <c r="C792" s="20"/>
      <c r="D792" s="16"/>
    </row>
    <row r="793" spans="3:4" ht="12.5" x14ac:dyDescent="0.25">
      <c r="C793" s="20"/>
      <c r="D793" s="16"/>
    </row>
    <row r="794" spans="3:4" ht="12.5" x14ac:dyDescent="0.25">
      <c r="C794" s="20"/>
      <c r="D794" s="16"/>
    </row>
    <row r="795" spans="3:4" ht="12.5" x14ac:dyDescent="0.25">
      <c r="C795" s="20"/>
      <c r="D795" s="16"/>
    </row>
    <row r="796" spans="3:4" ht="12.5" x14ac:dyDescent="0.25">
      <c r="C796" s="20"/>
      <c r="D796" s="16"/>
    </row>
    <row r="797" spans="3:4" ht="12.5" x14ac:dyDescent="0.25">
      <c r="C797" s="20"/>
      <c r="D797" s="16"/>
    </row>
    <row r="798" spans="3:4" ht="12.5" x14ac:dyDescent="0.25">
      <c r="C798" s="20"/>
      <c r="D798" s="16"/>
    </row>
    <row r="799" spans="3:4" ht="12.5" x14ac:dyDescent="0.25">
      <c r="C799" s="20"/>
      <c r="D799" s="16"/>
    </row>
    <row r="800" spans="3:4" ht="12.5" x14ac:dyDescent="0.25">
      <c r="C800" s="20"/>
      <c r="D800" s="16"/>
    </row>
    <row r="801" spans="3:4" ht="12.5" x14ac:dyDescent="0.25">
      <c r="C801" s="20"/>
      <c r="D801" s="16"/>
    </row>
    <row r="802" spans="3:4" ht="12.5" x14ac:dyDescent="0.25">
      <c r="C802" s="20"/>
      <c r="D802" s="16"/>
    </row>
    <row r="803" spans="3:4" ht="12.5" x14ac:dyDescent="0.25">
      <c r="C803" s="20"/>
      <c r="D803" s="16"/>
    </row>
    <row r="804" spans="3:4" ht="12.5" x14ac:dyDescent="0.25">
      <c r="C804" s="20"/>
      <c r="D804" s="16"/>
    </row>
    <row r="805" spans="3:4" ht="12.5" x14ac:dyDescent="0.25">
      <c r="C805" s="20"/>
      <c r="D805" s="16"/>
    </row>
    <row r="806" spans="3:4" ht="12.5" x14ac:dyDescent="0.25">
      <c r="C806" s="20"/>
      <c r="D806" s="16"/>
    </row>
    <row r="807" spans="3:4" ht="12.5" x14ac:dyDescent="0.25">
      <c r="C807" s="20"/>
      <c r="D807" s="16"/>
    </row>
    <row r="808" spans="3:4" ht="12.5" x14ac:dyDescent="0.25">
      <c r="C808" s="20"/>
      <c r="D808" s="16"/>
    </row>
    <row r="809" spans="3:4" ht="12.5" x14ac:dyDescent="0.25">
      <c r="C809" s="20"/>
      <c r="D809" s="16"/>
    </row>
    <row r="810" spans="3:4" ht="12.5" x14ac:dyDescent="0.25">
      <c r="C810" s="20"/>
      <c r="D810" s="16"/>
    </row>
    <row r="811" spans="3:4" ht="12.5" x14ac:dyDescent="0.25">
      <c r="C811" s="20"/>
      <c r="D811" s="16"/>
    </row>
    <row r="812" spans="3:4" ht="12.5" x14ac:dyDescent="0.25">
      <c r="C812" s="20"/>
      <c r="D812" s="16"/>
    </row>
    <row r="813" spans="3:4" ht="12.5" x14ac:dyDescent="0.25">
      <c r="C813" s="20"/>
      <c r="D813" s="16"/>
    </row>
    <row r="814" spans="3:4" ht="12.5" x14ac:dyDescent="0.25">
      <c r="C814" s="20"/>
      <c r="D814" s="16"/>
    </row>
    <row r="815" spans="3:4" ht="12.5" x14ac:dyDescent="0.25">
      <c r="C815" s="20"/>
      <c r="D815" s="16"/>
    </row>
    <row r="816" spans="3:4" ht="12.5" x14ac:dyDescent="0.25">
      <c r="C816" s="20"/>
      <c r="D816" s="16"/>
    </row>
    <row r="817" spans="3:4" ht="12.5" x14ac:dyDescent="0.25">
      <c r="C817" s="20"/>
      <c r="D817" s="16"/>
    </row>
    <row r="818" spans="3:4" ht="12.5" x14ac:dyDescent="0.25">
      <c r="C818" s="20"/>
      <c r="D818" s="16"/>
    </row>
    <row r="819" spans="3:4" ht="12.5" x14ac:dyDescent="0.25">
      <c r="C819" s="20"/>
      <c r="D819" s="16"/>
    </row>
    <row r="820" spans="3:4" ht="12.5" x14ac:dyDescent="0.25">
      <c r="C820" s="20"/>
      <c r="D820" s="16"/>
    </row>
    <row r="821" spans="3:4" ht="12.5" x14ac:dyDescent="0.25">
      <c r="C821" s="20"/>
      <c r="D821" s="16"/>
    </row>
    <row r="822" spans="3:4" ht="12.5" x14ac:dyDescent="0.25">
      <c r="C822" s="20"/>
      <c r="D822" s="16"/>
    </row>
    <row r="823" spans="3:4" ht="12.5" x14ac:dyDescent="0.25">
      <c r="C823" s="20"/>
      <c r="D823" s="16"/>
    </row>
    <row r="824" spans="3:4" ht="12.5" x14ac:dyDescent="0.25">
      <c r="C824" s="20"/>
      <c r="D824" s="16"/>
    </row>
    <row r="825" spans="3:4" ht="12.5" x14ac:dyDescent="0.25">
      <c r="C825" s="20"/>
      <c r="D825" s="16"/>
    </row>
    <row r="826" spans="3:4" ht="12.5" x14ac:dyDescent="0.25">
      <c r="C826" s="20"/>
      <c r="D826" s="16"/>
    </row>
    <row r="827" spans="3:4" ht="12.5" x14ac:dyDescent="0.25">
      <c r="C827" s="20"/>
      <c r="D827" s="16"/>
    </row>
    <row r="828" spans="3:4" ht="12.5" x14ac:dyDescent="0.25">
      <c r="C828" s="20"/>
      <c r="D828" s="16"/>
    </row>
    <row r="829" spans="3:4" ht="12.5" x14ac:dyDescent="0.25">
      <c r="C829" s="20"/>
      <c r="D829" s="16"/>
    </row>
    <row r="830" spans="3:4" ht="12.5" x14ac:dyDescent="0.25">
      <c r="C830" s="20"/>
      <c r="D830" s="16"/>
    </row>
    <row r="831" spans="3:4" ht="12.5" x14ac:dyDescent="0.25">
      <c r="C831" s="20"/>
      <c r="D831" s="16"/>
    </row>
    <row r="832" spans="3:4" ht="12.5" x14ac:dyDescent="0.25">
      <c r="C832" s="20"/>
      <c r="D832" s="16"/>
    </row>
    <row r="833" spans="3:4" ht="12.5" x14ac:dyDescent="0.25">
      <c r="C833" s="20"/>
      <c r="D833" s="16"/>
    </row>
    <row r="834" spans="3:4" ht="12.5" x14ac:dyDescent="0.25">
      <c r="C834" s="20"/>
      <c r="D834" s="16"/>
    </row>
    <row r="835" spans="3:4" ht="12.5" x14ac:dyDescent="0.25">
      <c r="C835" s="20"/>
      <c r="D835" s="16"/>
    </row>
    <row r="836" spans="3:4" ht="12.5" x14ac:dyDescent="0.25">
      <c r="C836" s="20"/>
      <c r="D836" s="16"/>
    </row>
    <row r="837" spans="3:4" ht="12.5" x14ac:dyDescent="0.25">
      <c r="C837" s="20"/>
      <c r="D837" s="16"/>
    </row>
    <row r="838" spans="3:4" ht="12.5" x14ac:dyDescent="0.25">
      <c r="C838" s="20"/>
      <c r="D838" s="16"/>
    </row>
    <row r="839" spans="3:4" ht="12.5" x14ac:dyDescent="0.25">
      <c r="C839" s="20"/>
      <c r="D839" s="16"/>
    </row>
    <row r="840" spans="3:4" ht="12.5" x14ac:dyDescent="0.25">
      <c r="C840" s="20"/>
      <c r="D840" s="16"/>
    </row>
    <row r="841" spans="3:4" ht="12.5" x14ac:dyDescent="0.25">
      <c r="C841" s="20"/>
      <c r="D841" s="16"/>
    </row>
    <row r="842" spans="3:4" ht="12.5" x14ac:dyDescent="0.25">
      <c r="C842" s="20"/>
      <c r="D842" s="16"/>
    </row>
    <row r="843" spans="3:4" ht="12.5" x14ac:dyDescent="0.25">
      <c r="C843" s="20"/>
      <c r="D843" s="16"/>
    </row>
    <row r="844" spans="3:4" ht="12.5" x14ac:dyDescent="0.25">
      <c r="C844" s="20"/>
      <c r="D844" s="16"/>
    </row>
    <row r="845" spans="3:4" ht="12.5" x14ac:dyDescent="0.25">
      <c r="C845" s="20"/>
      <c r="D845" s="16"/>
    </row>
    <row r="846" spans="3:4" ht="12.5" x14ac:dyDescent="0.25">
      <c r="C846" s="20"/>
      <c r="D846" s="16"/>
    </row>
    <row r="847" spans="3:4" ht="12.5" x14ac:dyDescent="0.25">
      <c r="C847" s="20"/>
      <c r="D847" s="16"/>
    </row>
    <row r="848" spans="3:4" ht="12.5" x14ac:dyDescent="0.25">
      <c r="C848" s="20"/>
      <c r="D848" s="16"/>
    </row>
    <row r="849" spans="3:4" ht="12.5" x14ac:dyDescent="0.25">
      <c r="C849" s="20"/>
      <c r="D849" s="16"/>
    </row>
    <row r="850" spans="3:4" ht="12.5" x14ac:dyDescent="0.25">
      <c r="C850" s="20"/>
      <c r="D850" s="16"/>
    </row>
    <row r="851" spans="3:4" ht="12.5" x14ac:dyDescent="0.25">
      <c r="C851" s="20"/>
      <c r="D851" s="16"/>
    </row>
    <row r="852" spans="3:4" ht="12.5" x14ac:dyDescent="0.25">
      <c r="C852" s="20"/>
      <c r="D852" s="16"/>
    </row>
    <row r="853" spans="3:4" ht="12.5" x14ac:dyDescent="0.25">
      <c r="C853" s="20"/>
      <c r="D853" s="16"/>
    </row>
    <row r="854" spans="3:4" ht="12.5" x14ac:dyDescent="0.25">
      <c r="C854" s="20"/>
      <c r="D854" s="16"/>
    </row>
    <row r="855" spans="3:4" ht="12.5" x14ac:dyDescent="0.25">
      <c r="C855" s="20"/>
      <c r="D855" s="16"/>
    </row>
    <row r="856" spans="3:4" ht="12.5" x14ac:dyDescent="0.25">
      <c r="C856" s="20"/>
      <c r="D856" s="16"/>
    </row>
    <row r="857" spans="3:4" ht="12.5" x14ac:dyDescent="0.25">
      <c r="C857" s="20"/>
      <c r="D857" s="16"/>
    </row>
    <row r="858" spans="3:4" ht="12.5" x14ac:dyDescent="0.25">
      <c r="C858" s="20"/>
      <c r="D858" s="16"/>
    </row>
    <row r="859" spans="3:4" ht="12.5" x14ac:dyDescent="0.25">
      <c r="C859" s="20"/>
      <c r="D859" s="16"/>
    </row>
    <row r="860" spans="3:4" ht="12.5" x14ac:dyDescent="0.25">
      <c r="C860" s="20"/>
      <c r="D860" s="16"/>
    </row>
    <row r="861" spans="3:4" ht="12.5" x14ac:dyDescent="0.25">
      <c r="C861" s="20"/>
      <c r="D861" s="16"/>
    </row>
    <row r="862" spans="3:4" ht="12.5" x14ac:dyDescent="0.25">
      <c r="C862" s="20"/>
      <c r="D862" s="16"/>
    </row>
    <row r="863" spans="3:4" ht="12.5" x14ac:dyDescent="0.25">
      <c r="C863" s="20"/>
      <c r="D863" s="16"/>
    </row>
    <row r="864" spans="3:4" ht="12.5" x14ac:dyDescent="0.25">
      <c r="C864" s="20"/>
      <c r="D864" s="16"/>
    </row>
    <row r="865" spans="3:4" ht="12.5" x14ac:dyDescent="0.25">
      <c r="C865" s="20"/>
      <c r="D865" s="16"/>
    </row>
    <row r="866" spans="3:4" ht="12.5" x14ac:dyDescent="0.25">
      <c r="C866" s="20"/>
      <c r="D866" s="16"/>
    </row>
    <row r="867" spans="3:4" ht="12.5" x14ac:dyDescent="0.25">
      <c r="C867" s="20"/>
      <c r="D867" s="16"/>
    </row>
    <row r="868" spans="3:4" ht="12.5" x14ac:dyDescent="0.25">
      <c r="C868" s="20"/>
      <c r="D868" s="16"/>
    </row>
    <row r="869" spans="3:4" ht="12.5" x14ac:dyDescent="0.25">
      <c r="C869" s="20"/>
      <c r="D869" s="16"/>
    </row>
    <row r="870" spans="3:4" ht="12.5" x14ac:dyDescent="0.25">
      <c r="C870" s="20"/>
      <c r="D870" s="16"/>
    </row>
    <row r="871" spans="3:4" ht="12.5" x14ac:dyDescent="0.25">
      <c r="C871" s="20"/>
      <c r="D871" s="16"/>
    </row>
    <row r="872" spans="3:4" ht="12.5" x14ac:dyDescent="0.25">
      <c r="C872" s="20"/>
      <c r="D872" s="16"/>
    </row>
    <row r="873" spans="3:4" ht="12.5" x14ac:dyDescent="0.25">
      <c r="C873" s="20"/>
      <c r="D873" s="16"/>
    </row>
    <row r="874" spans="3:4" ht="12.5" x14ac:dyDescent="0.25">
      <c r="C874" s="20"/>
      <c r="D874" s="16"/>
    </row>
    <row r="875" spans="3:4" ht="12.5" x14ac:dyDescent="0.25">
      <c r="C875" s="20"/>
      <c r="D875" s="16"/>
    </row>
    <row r="876" spans="3:4" ht="12.5" x14ac:dyDescent="0.25">
      <c r="C876" s="20"/>
      <c r="D876" s="16"/>
    </row>
    <row r="877" spans="3:4" ht="12.5" x14ac:dyDescent="0.25">
      <c r="C877" s="20"/>
      <c r="D877" s="16"/>
    </row>
    <row r="878" spans="3:4" ht="12.5" x14ac:dyDescent="0.25">
      <c r="C878" s="20"/>
      <c r="D878" s="16"/>
    </row>
    <row r="879" spans="3:4" ht="12.5" x14ac:dyDescent="0.25">
      <c r="C879" s="20"/>
      <c r="D879" s="16"/>
    </row>
    <row r="880" spans="3:4" ht="12.5" x14ac:dyDescent="0.25">
      <c r="C880" s="20"/>
      <c r="D880" s="16"/>
    </row>
    <row r="881" spans="3:4" ht="12.5" x14ac:dyDescent="0.25">
      <c r="C881" s="20"/>
      <c r="D881" s="16"/>
    </row>
    <row r="882" spans="3:4" ht="12.5" x14ac:dyDescent="0.25">
      <c r="C882" s="20"/>
      <c r="D882" s="16"/>
    </row>
    <row r="883" spans="3:4" ht="12.5" x14ac:dyDescent="0.25">
      <c r="C883" s="20"/>
      <c r="D883" s="16"/>
    </row>
    <row r="884" spans="3:4" ht="12.5" x14ac:dyDescent="0.25">
      <c r="C884" s="20"/>
      <c r="D884" s="16"/>
    </row>
    <row r="885" spans="3:4" ht="12.5" x14ac:dyDescent="0.25">
      <c r="C885" s="20"/>
      <c r="D885" s="16"/>
    </row>
    <row r="886" spans="3:4" ht="12.5" x14ac:dyDescent="0.25">
      <c r="C886" s="20"/>
      <c r="D886" s="16"/>
    </row>
    <row r="887" spans="3:4" ht="12.5" x14ac:dyDescent="0.25">
      <c r="C887" s="20"/>
      <c r="D887" s="16"/>
    </row>
    <row r="888" spans="3:4" ht="12.5" x14ac:dyDescent="0.25">
      <c r="C888" s="20"/>
      <c r="D888" s="16"/>
    </row>
    <row r="889" spans="3:4" ht="12.5" x14ac:dyDescent="0.25">
      <c r="C889" s="20"/>
      <c r="D889" s="16"/>
    </row>
    <row r="890" spans="3:4" ht="12.5" x14ac:dyDescent="0.25">
      <c r="C890" s="20"/>
      <c r="D890" s="16"/>
    </row>
    <row r="891" spans="3:4" ht="12.5" x14ac:dyDescent="0.25">
      <c r="C891" s="20"/>
      <c r="D891" s="16"/>
    </row>
    <row r="892" spans="3:4" ht="12.5" x14ac:dyDescent="0.25">
      <c r="C892" s="20"/>
      <c r="D892" s="16"/>
    </row>
    <row r="893" spans="3:4" ht="12.5" x14ac:dyDescent="0.25">
      <c r="C893" s="20"/>
      <c r="D893" s="16"/>
    </row>
    <row r="894" spans="3:4" ht="12.5" x14ac:dyDescent="0.25">
      <c r="C894" s="20"/>
      <c r="D894" s="16"/>
    </row>
    <row r="895" spans="3:4" ht="12.5" x14ac:dyDescent="0.25">
      <c r="C895" s="20"/>
      <c r="D895" s="16"/>
    </row>
    <row r="896" spans="3:4" ht="12.5" x14ac:dyDescent="0.25">
      <c r="C896" s="20"/>
      <c r="D896" s="16"/>
    </row>
    <row r="897" spans="3:4" ht="12.5" x14ac:dyDescent="0.25">
      <c r="C897" s="20"/>
      <c r="D897" s="16"/>
    </row>
    <row r="898" spans="3:4" ht="12.5" x14ac:dyDescent="0.25">
      <c r="C898" s="20"/>
      <c r="D898" s="16"/>
    </row>
    <row r="899" spans="3:4" ht="12.5" x14ac:dyDescent="0.25">
      <c r="C899" s="20"/>
      <c r="D899" s="16"/>
    </row>
    <row r="900" spans="3:4" ht="12.5" x14ac:dyDescent="0.25">
      <c r="C900" s="20"/>
      <c r="D900" s="16"/>
    </row>
    <row r="901" spans="3:4" ht="12.5" x14ac:dyDescent="0.25">
      <c r="C901" s="20"/>
      <c r="D901" s="16"/>
    </row>
    <row r="902" spans="3:4" ht="12.5" x14ac:dyDescent="0.25">
      <c r="C902" s="20"/>
      <c r="D902" s="16"/>
    </row>
    <row r="903" spans="3:4" ht="12.5" x14ac:dyDescent="0.25">
      <c r="C903" s="20"/>
      <c r="D903" s="16"/>
    </row>
    <row r="904" spans="3:4" ht="12.5" x14ac:dyDescent="0.25">
      <c r="C904" s="20"/>
      <c r="D904" s="16"/>
    </row>
    <row r="905" spans="3:4" ht="12.5" x14ac:dyDescent="0.25">
      <c r="C905" s="20"/>
      <c r="D905" s="16"/>
    </row>
    <row r="906" spans="3:4" ht="12.5" x14ac:dyDescent="0.25">
      <c r="C906" s="20"/>
      <c r="D906" s="16"/>
    </row>
    <row r="907" spans="3:4" ht="12.5" x14ac:dyDescent="0.25">
      <c r="C907" s="20"/>
      <c r="D907" s="16"/>
    </row>
    <row r="908" spans="3:4" ht="12.5" x14ac:dyDescent="0.25">
      <c r="C908" s="20"/>
      <c r="D908" s="16"/>
    </row>
    <row r="909" spans="3:4" ht="12.5" x14ac:dyDescent="0.25">
      <c r="C909" s="20"/>
      <c r="D909" s="16"/>
    </row>
    <row r="910" spans="3:4" ht="12.5" x14ac:dyDescent="0.25">
      <c r="C910" s="20"/>
      <c r="D910" s="16"/>
    </row>
    <row r="911" spans="3:4" ht="12.5" x14ac:dyDescent="0.25">
      <c r="C911" s="20"/>
      <c r="D911" s="16"/>
    </row>
    <row r="912" spans="3:4" ht="12.5" x14ac:dyDescent="0.25">
      <c r="C912" s="20"/>
      <c r="D912" s="16"/>
    </row>
    <row r="913" spans="3:4" ht="12.5" x14ac:dyDescent="0.25">
      <c r="C913" s="20"/>
      <c r="D913" s="16"/>
    </row>
    <row r="914" spans="3:4" ht="12.5" x14ac:dyDescent="0.25">
      <c r="C914" s="20"/>
      <c r="D914" s="16"/>
    </row>
    <row r="915" spans="3:4" ht="12.5" x14ac:dyDescent="0.25">
      <c r="C915" s="20"/>
      <c r="D915" s="16"/>
    </row>
    <row r="916" spans="3:4" ht="12.5" x14ac:dyDescent="0.25">
      <c r="C916" s="20"/>
      <c r="D916" s="16"/>
    </row>
    <row r="917" spans="3:4" ht="12.5" x14ac:dyDescent="0.25">
      <c r="C917" s="20"/>
      <c r="D917" s="16"/>
    </row>
    <row r="918" spans="3:4" ht="12.5" x14ac:dyDescent="0.25">
      <c r="C918" s="20"/>
      <c r="D918" s="16"/>
    </row>
    <row r="919" spans="3:4" ht="12.5" x14ac:dyDescent="0.25">
      <c r="C919" s="20"/>
      <c r="D919" s="16"/>
    </row>
    <row r="920" spans="3:4" ht="12.5" x14ac:dyDescent="0.25">
      <c r="C920" s="20"/>
      <c r="D920" s="16"/>
    </row>
    <row r="921" spans="3:4" ht="12.5" x14ac:dyDescent="0.25">
      <c r="C921" s="20"/>
      <c r="D921" s="16"/>
    </row>
    <row r="922" spans="3:4" ht="12.5" x14ac:dyDescent="0.25">
      <c r="C922" s="20"/>
      <c r="D922" s="16"/>
    </row>
    <row r="923" spans="3:4" ht="12.5" x14ac:dyDescent="0.25">
      <c r="C923" s="20"/>
      <c r="D923" s="16"/>
    </row>
    <row r="924" spans="3:4" ht="12.5" x14ac:dyDescent="0.25">
      <c r="C924" s="20"/>
      <c r="D924" s="16"/>
    </row>
    <row r="925" spans="3:4" ht="12.5" x14ac:dyDescent="0.25">
      <c r="C925" s="20"/>
      <c r="D925" s="16"/>
    </row>
    <row r="926" spans="3:4" ht="12.5" x14ac:dyDescent="0.25">
      <c r="C926" s="20"/>
      <c r="D926" s="16"/>
    </row>
    <row r="927" spans="3:4" ht="12.5" x14ac:dyDescent="0.25">
      <c r="C927" s="20"/>
      <c r="D927" s="16"/>
    </row>
    <row r="928" spans="3:4" ht="12.5" x14ac:dyDescent="0.25">
      <c r="C928" s="20"/>
      <c r="D928" s="16"/>
    </row>
    <row r="929" spans="3:4" ht="12.5" x14ac:dyDescent="0.25">
      <c r="C929" s="20"/>
      <c r="D929" s="16"/>
    </row>
    <row r="930" spans="3:4" ht="12.5" x14ac:dyDescent="0.25">
      <c r="C930" s="20"/>
      <c r="D930" s="16"/>
    </row>
    <row r="931" spans="3:4" ht="12.5" x14ac:dyDescent="0.25">
      <c r="C931" s="20"/>
      <c r="D931" s="16"/>
    </row>
    <row r="932" spans="3:4" ht="12.5" x14ac:dyDescent="0.25">
      <c r="C932" s="20"/>
      <c r="D932" s="16"/>
    </row>
    <row r="933" spans="3:4" ht="12.5" x14ac:dyDescent="0.25">
      <c r="C933" s="20"/>
      <c r="D933" s="16"/>
    </row>
    <row r="934" spans="3:4" ht="12.5" x14ac:dyDescent="0.25">
      <c r="C934" s="20"/>
      <c r="D934" s="16"/>
    </row>
    <row r="935" spans="3:4" ht="12.5" x14ac:dyDescent="0.25">
      <c r="C935" s="20"/>
      <c r="D935" s="16"/>
    </row>
    <row r="936" spans="3:4" ht="12.5" x14ac:dyDescent="0.25">
      <c r="C936" s="20"/>
      <c r="D936" s="16"/>
    </row>
    <row r="937" spans="3:4" ht="12.5" x14ac:dyDescent="0.25">
      <c r="C937" s="20"/>
      <c r="D937" s="16"/>
    </row>
    <row r="938" spans="3:4" ht="12.5" x14ac:dyDescent="0.25">
      <c r="C938" s="20"/>
      <c r="D938" s="16"/>
    </row>
    <row r="939" spans="3:4" ht="12.5" x14ac:dyDescent="0.25">
      <c r="C939" s="20"/>
      <c r="D939" s="16"/>
    </row>
    <row r="940" spans="3:4" ht="12.5" x14ac:dyDescent="0.25">
      <c r="C940" s="20"/>
      <c r="D940" s="16"/>
    </row>
    <row r="941" spans="3:4" ht="12.5" x14ac:dyDescent="0.25">
      <c r="C941" s="20"/>
      <c r="D941" s="16"/>
    </row>
    <row r="942" spans="3:4" ht="12.5" x14ac:dyDescent="0.25">
      <c r="C942" s="20"/>
      <c r="D942" s="16"/>
    </row>
    <row r="943" spans="3:4" ht="12.5" x14ac:dyDescent="0.25">
      <c r="C943" s="20"/>
      <c r="D943" s="16"/>
    </row>
    <row r="944" spans="3:4" ht="12.5" x14ac:dyDescent="0.25">
      <c r="C944" s="20"/>
      <c r="D944" s="16"/>
    </row>
    <row r="945" spans="3:4" ht="12.5" x14ac:dyDescent="0.25">
      <c r="C945" s="20"/>
      <c r="D945" s="16"/>
    </row>
    <row r="946" spans="3:4" ht="12.5" x14ac:dyDescent="0.25">
      <c r="C946" s="20"/>
      <c r="D946" s="16"/>
    </row>
    <row r="947" spans="3:4" ht="12.5" x14ac:dyDescent="0.25">
      <c r="C947" s="20"/>
      <c r="D947" s="16"/>
    </row>
    <row r="948" spans="3:4" ht="12.5" x14ac:dyDescent="0.25">
      <c r="C948" s="20"/>
      <c r="D948" s="16"/>
    </row>
    <row r="949" spans="3:4" ht="12.5" x14ac:dyDescent="0.25">
      <c r="C949" s="20"/>
      <c r="D949" s="16"/>
    </row>
    <row r="950" spans="3:4" ht="12.5" x14ac:dyDescent="0.25">
      <c r="C950" s="20"/>
      <c r="D950" s="16"/>
    </row>
    <row r="951" spans="3:4" ht="12.5" x14ac:dyDescent="0.25">
      <c r="C951" s="20"/>
      <c r="D951" s="16"/>
    </row>
    <row r="952" spans="3:4" ht="12.5" x14ac:dyDescent="0.25">
      <c r="C952" s="20"/>
      <c r="D952" s="16"/>
    </row>
    <row r="953" spans="3:4" ht="12.5" x14ac:dyDescent="0.25">
      <c r="C953" s="20"/>
      <c r="D953" s="16"/>
    </row>
    <row r="954" spans="3:4" ht="12.5" x14ac:dyDescent="0.25">
      <c r="C954" s="20"/>
      <c r="D954" s="16"/>
    </row>
    <row r="955" spans="3:4" ht="12.5" x14ac:dyDescent="0.25">
      <c r="C955" s="20"/>
      <c r="D955" s="16"/>
    </row>
    <row r="956" spans="3:4" ht="12.5" x14ac:dyDescent="0.25">
      <c r="C956" s="20"/>
      <c r="D956" s="16"/>
    </row>
    <row r="957" spans="3:4" ht="12.5" x14ac:dyDescent="0.25">
      <c r="C957" s="20"/>
      <c r="D957" s="16"/>
    </row>
    <row r="958" spans="3:4" ht="12.5" x14ac:dyDescent="0.25">
      <c r="C958" s="20"/>
      <c r="D958" s="16"/>
    </row>
    <row r="959" spans="3:4" ht="12.5" x14ac:dyDescent="0.25">
      <c r="C959" s="20"/>
      <c r="D959" s="16"/>
    </row>
    <row r="960" spans="3:4" ht="12.5" x14ac:dyDescent="0.25">
      <c r="C960" s="20"/>
      <c r="D960" s="16"/>
    </row>
    <row r="961" spans="3:4" ht="12.5" x14ac:dyDescent="0.25">
      <c r="C961" s="20"/>
      <c r="D961" s="16"/>
    </row>
    <row r="962" spans="3:4" ht="12.5" x14ac:dyDescent="0.25">
      <c r="C962" s="20"/>
      <c r="D962" s="16"/>
    </row>
    <row r="963" spans="3:4" ht="12.5" x14ac:dyDescent="0.25">
      <c r="C963" s="20"/>
      <c r="D963" s="16"/>
    </row>
    <row r="964" spans="3:4" ht="12.5" x14ac:dyDescent="0.25">
      <c r="C964" s="20"/>
      <c r="D964" s="16"/>
    </row>
    <row r="965" spans="3:4" ht="12.5" x14ac:dyDescent="0.25">
      <c r="C965" s="20"/>
      <c r="D965" s="16"/>
    </row>
    <row r="966" spans="3:4" ht="12.5" x14ac:dyDescent="0.25">
      <c r="C966" s="20"/>
      <c r="D966" s="16"/>
    </row>
    <row r="967" spans="3:4" ht="12.5" x14ac:dyDescent="0.25">
      <c r="C967" s="20"/>
      <c r="D967" s="16"/>
    </row>
    <row r="968" spans="3:4" ht="12.5" x14ac:dyDescent="0.25">
      <c r="C968" s="20"/>
      <c r="D968" s="16"/>
    </row>
    <row r="969" spans="3:4" ht="12.5" x14ac:dyDescent="0.25">
      <c r="C969" s="20"/>
      <c r="D969" s="16"/>
    </row>
    <row r="970" spans="3:4" ht="12.5" x14ac:dyDescent="0.25">
      <c r="C970" s="20"/>
      <c r="D970" s="16"/>
    </row>
    <row r="971" spans="3:4" ht="12.5" x14ac:dyDescent="0.25">
      <c r="C971" s="20"/>
      <c r="D971" s="16"/>
    </row>
    <row r="972" spans="3:4" ht="12.5" x14ac:dyDescent="0.25">
      <c r="C972" s="20"/>
      <c r="D972" s="16"/>
    </row>
    <row r="973" spans="3:4" ht="12.5" x14ac:dyDescent="0.25">
      <c r="C973" s="20"/>
      <c r="D973" s="16"/>
    </row>
    <row r="974" spans="3:4" ht="12.5" x14ac:dyDescent="0.25">
      <c r="C974" s="20"/>
      <c r="D974" s="16"/>
    </row>
    <row r="975" spans="3:4" ht="12.5" x14ac:dyDescent="0.25">
      <c r="C975" s="20"/>
      <c r="D975" s="16"/>
    </row>
    <row r="976" spans="3:4" ht="12.5" x14ac:dyDescent="0.25">
      <c r="C976" s="20"/>
      <c r="D976" s="16"/>
    </row>
    <row r="977" spans="3:4" ht="12.5" x14ac:dyDescent="0.25">
      <c r="C977" s="20"/>
      <c r="D977" s="16"/>
    </row>
    <row r="978" spans="3:4" ht="12.5" x14ac:dyDescent="0.25">
      <c r="C978" s="20"/>
      <c r="D978" s="16"/>
    </row>
    <row r="979" spans="3:4" ht="12.5" x14ac:dyDescent="0.25">
      <c r="C979" s="20"/>
      <c r="D979" s="16"/>
    </row>
    <row r="980" spans="3:4" ht="12.5" x14ac:dyDescent="0.25">
      <c r="C980" s="20"/>
      <c r="D980" s="16"/>
    </row>
    <row r="981" spans="3:4" ht="12.5" x14ac:dyDescent="0.25">
      <c r="C981" s="20"/>
      <c r="D981" s="16"/>
    </row>
    <row r="982" spans="3:4" ht="12.5" x14ac:dyDescent="0.25">
      <c r="C982" s="20"/>
      <c r="D982" s="16"/>
    </row>
    <row r="983" spans="3:4" ht="12.5" x14ac:dyDescent="0.25">
      <c r="C983" s="20"/>
      <c r="D983" s="16"/>
    </row>
    <row r="984" spans="3:4" ht="12.5" x14ac:dyDescent="0.25">
      <c r="C984" s="20"/>
      <c r="D984" s="16"/>
    </row>
    <row r="985" spans="3:4" ht="12.5" x14ac:dyDescent="0.25">
      <c r="C985" s="20"/>
      <c r="D985" s="16"/>
    </row>
    <row r="986" spans="3:4" ht="12.5" x14ac:dyDescent="0.25">
      <c r="C986" s="20"/>
      <c r="D986" s="16"/>
    </row>
    <row r="987" spans="3:4" ht="12.5" x14ac:dyDescent="0.25">
      <c r="C987" s="20"/>
      <c r="D987" s="16"/>
    </row>
    <row r="988" spans="3:4" ht="12.5" x14ac:dyDescent="0.25">
      <c r="C988" s="20"/>
      <c r="D988" s="16"/>
    </row>
    <row r="989" spans="3:4" ht="12.5" x14ac:dyDescent="0.25">
      <c r="C989" s="20"/>
      <c r="D989" s="16"/>
    </row>
    <row r="990" spans="3:4" ht="12.5" x14ac:dyDescent="0.25">
      <c r="C990" s="20"/>
      <c r="D990" s="16"/>
    </row>
    <row r="991" spans="3:4" ht="12.5" x14ac:dyDescent="0.25">
      <c r="C991" s="20"/>
      <c r="D991" s="16"/>
    </row>
    <row r="992" spans="3:4" ht="12.5" x14ac:dyDescent="0.25">
      <c r="C992" s="20"/>
      <c r="D992" s="16"/>
    </row>
    <row r="993" spans="3:4" ht="12.5" x14ac:dyDescent="0.25">
      <c r="C993" s="20"/>
      <c r="D993" s="16"/>
    </row>
    <row r="994" spans="3:4" ht="12.5" x14ac:dyDescent="0.25">
      <c r="C994" s="20"/>
      <c r="D994" s="16"/>
    </row>
    <row r="995" spans="3:4" ht="12.5" x14ac:dyDescent="0.25">
      <c r="C995" s="20"/>
      <c r="D995" s="16"/>
    </row>
    <row r="996" spans="3:4" ht="12.5" x14ac:dyDescent="0.25">
      <c r="C996" s="20"/>
      <c r="D996" s="16"/>
    </row>
    <row r="997" spans="3:4" ht="12.5" x14ac:dyDescent="0.25">
      <c r="C997" s="20"/>
      <c r="D997" s="16"/>
    </row>
    <row r="998" spans="3:4" ht="12.5" x14ac:dyDescent="0.25">
      <c r="C998" s="20"/>
      <c r="D998" s="16"/>
    </row>
    <row r="999" spans="3:4" ht="12.5" x14ac:dyDescent="0.25">
      <c r="C999" s="20"/>
      <c r="D999" s="16"/>
    </row>
    <row r="1000" spans="3:4" ht="12.5" x14ac:dyDescent="0.25">
      <c r="C1000" s="20"/>
      <c r="D1000" s="16"/>
    </row>
    <row r="1001" spans="3:4" ht="12.5" x14ac:dyDescent="0.25">
      <c r="C1001" s="20"/>
      <c r="D1001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4C2F4"/>
    <outlinePr summaryBelow="0" summaryRight="0"/>
  </sheetPr>
  <dimension ref="A1:AA1000"/>
  <sheetViews>
    <sheetView topLeftCell="B647" workbookViewId="0">
      <selection activeCell="E6" sqref="E6"/>
    </sheetView>
  </sheetViews>
  <sheetFormatPr defaultColWidth="12.6328125" defaultRowHeight="15.75" customHeight="1" x14ac:dyDescent="0.25"/>
  <cols>
    <col min="1" max="1" width="37.08984375" hidden="1" customWidth="1"/>
    <col min="2" max="2" width="5.26953125" style="41" customWidth="1"/>
    <col min="4" max="4" width="36.453125" customWidth="1"/>
    <col min="7" max="7" width="62.90625" customWidth="1"/>
  </cols>
  <sheetData>
    <row r="1" spans="1:27" ht="13" x14ac:dyDescent="0.3">
      <c r="A1" s="17" t="s">
        <v>1517</v>
      </c>
      <c r="B1" s="52" t="s">
        <v>1518</v>
      </c>
      <c r="C1" s="53" t="s">
        <v>1550</v>
      </c>
      <c r="D1" s="53" t="s">
        <v>1551</v>
      </c>
      <c r="E1" s="52" t="s">
        <v>9</v>
      </c>
      <c r="F1" s="52" t="s">
        <v>10</v>
      </c>
      <c r="G1" s="53" t="s">
        <v>1522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9" t="str">
        <f ca="1">IFERROR(__xludf.DUMMYFUNCTION("UNIQUE(Mentah!D2:D1610)"),"TNH1503 - Topik khusus 1")</f>
        <v>TNH1503 - Topik khusus 1</v>
      </c>
      <c r="B2" s="44">
        <v>1</v>
      </c>
      <c r="C2" s="35" t="str">
        <f t="shared" ref="C2:C65" ca="1" si="0">IFERROR(LEFT(A2,7),"")</f>
        <v>TNH1503</v>
      </c>
      <c r="D2" s="35" t="str">
        <f t="shared" ref="D2:D65" ca="1" si="1">IFERROR(MID(A2,11,99),"")</f>
        <v>Topik khusus 1</v>
      </c>
      <c r="E2" s="44">
        <f ca="1">IFERROR(VLOOKUP(A2,Mentah!D:J,7,FALSE),"")</f>
        <v>2</v>
      </c>
      <c r="F2" s="44" t="str">
        <f ca="1">IFERROR(VLOOKUP(A2,Mentah!D:K,8,FALSE),"")</f>
        <v>A151</v>
      </c>
      <c r="G2" s="35" t="str">
        <f t="shared" ref="G2:G256" ca="1" si="2">CONCATENATE("('",C2,"','",D2,"','",E2,"','",F2,"'),")</f>
        <v>('TNH1503','Topik khusus 1','2','A151'),</v>
      </c>
    </row>
    <row r="3" spans="1:27" ht="15.75" customHeight="1" x14ac:dyDescent="0.25">
      <c r="A3" s="9" t="str">
        <f ca="1">IFERROR(__xludf.DUMMYFUNCTION("""COMPUTED_VALUE"""),"TNH1602 - Pengelolaan Sumberdaya Lahan")</f>
        <v>TNH1602 - Pengelolaan Sumberdaya Lahan</v>
      </c>
      <c r="B3" s="44">
        <v>2</v>
      </c>
      <c r="C3" s="35" t="str">
        <f t="shared" ca="1" si="0"/>
        <v>TNH1602</v>
      </c>
      <c r="D3" s="35" t="str">
        <f t="shared" ca="1" si="1"/>
        <v>Pengelolaan Sumberdaya Lahan</v>
      </c>
      <c r="E3" s="44">
        <f ca="1">IFERROR(VLOOKUP(A3,Mentah!D:J,7,FALSE),"")</f>
        <v>2</v>
      </c>
      <c r="F3" s="44" t="str">
        <f ca="1">IFERROR(VLOOKUP(A3,Mentah!D:K,8,FALSE),"")</f>
        <v>A151</v>
      </c>
      <c r="G3" s="35" t="str">
        <f t="shared" ca="1" si="2"/>
        <v>('TNH1602','Pengelolaan Sumberdaya Lahan','2','A151'),</v>
      </c>
    </row>
    <row r="4" spans="1:27" ht="15.75" customHeight="1" x14ac:dyDescent="0.25">
      <c r="A4" s="9" t="str">
        <f ca="1">IFERROR(__xludf.DUMMYFUNCTION("""COMPUTED_VALUE"""),"TNH1605 - Topik Khusus 3")</f>
        <v>TNH1605 - Topik Khusus 3</v>
      </c>
      <c r="B4" s="44">
        <v>3</v>
      </c>
      <c r="C4" s="35" t="str">
        <f t="shared" ca="1" si="0"/>
        <v>TNH1605</v>
      </c>
      <c r="D4" s="35" t="str">
        <f t="shared" ca="1" si="1"/>
        <v>Topik Khusus 3</v>
      </c>
      <c r="E4" s="44">
        <f ca="1">IFERROR(VLOOKUP(A4,Mentah!D:J,7,FALSE),"")</f>
        <v>2</v>
      </c>
      <c r="F4" s="44" t="str">
        <f ca="1">IFERROR(VLOOKUP(A4,Mentah!D:K,8,FALSE),"")</f>
        <v>A151</v>
      </c>
      <c r="G4" s="35" t="str">
        <f t="shared" ca="1" si="2"/>
        <v>('TNH1605','Topik Khusus 3','2','A151'),</v>
      </c>
    </row>
    <row r="5" spans="1:27" ht="15.75" customHeight="1" x14ac:dyDescent="0.25">
      <c r="A5" s="9" t="str">
        <f ca="1">IFERROR(__xludf.DUMMYFUNCTION("""COMPUTED_VALUE"""),"PWL1607 - Dinamika Agraria, Sosial dan Administrasi Pertanahan")</f>
        <v>PWL1607 - Dinamika Agraria, Sosial dan Administrasi Pertanahan</v>
      </c>
      <c r="B5" s="44">
        <v>4</v>
      </c>
      <c r="C5" s="35" t="str">
        <f t="shared" ca="1" si="0"/>
        <v>PWL1607</v>
      </c>
      <c r="D5" s="35" t="str">
        <f t="shared" ca="1" si="1"/>
        <v>Dinamika Agraria, Sosial dan Administrasi Pertanahan</v>
      </c>
      <c r="E5" s="44">
        <f ca="1">IFERROR(VLOOKUP(A5,Mentah!D:J,7,FALSE),"")</f>
        <v>2</v>
      </c>
      <c r="F5" s="44" t="str">
        <f ca="1">IFERROR(VLOOKUP(A5,Mentah!D:K,8,FALSE),"")</f>
        <v>A151</v>
      </c>
      <c r="G5" s="35" t="str">
        <f t="shared" ca="1" si="2"/>
        <v>('PWL1607','Dinamika Agraria, Sosial dan Administrasi Pertanahan','2','A151'),</v>
      </c>
    </row>
    <row r="6" spans="1:27" ht="15.75" customHeight="1" x14ac:dyDescent="0.25">
      <c r="A6" s="9" t="str">
        <f ca="1">IFERROR(__xludf.DUMMYFUNCTION("""COMPUTED_VALUE"""),"TNH1601 - Metodologi Penelitian")</f>
        <v>TNH1601 - Metodologi Penelitian</v>
      </c>
      <c r="B6" s="44">
        <v>5</v>
      </c>
      <c r="C6" s="35" t="str">
        <f t="shared" ca="1" si="0"/>
        <v>TNH1601</v>
      </c>
      <c r="D6" s="35" t="str">
        <f t="shared" ca="1" si="1"/>
        <v>Metodologi Penelitian</v>
      </c>
      <c r="E6" s="44">
        <f ca="1">IFERROR(VLOOKUP(A6,Mentah!D:J,7,FALSE),"")</f>
        <v>2</v>
      </c>
      <c r="F6" s="44" t="str">
        <f ca="1">IFERROR(VLOOKUP(A6,Mentah!D:K,8,FALSE),"")</f>
        <v>A151</v>
      </c>
      <c r="G6" s="35" t="str">
        <f t="shared" ca="1" si="2"/>
        <v>('TNH1601','Metodologi Penelitian','2','A151'),</v>
      </c>
    </row>
    <row r="7" spans="1:27" ht="15.75" customHeight="1" x14ac:dyDescent="0.25">
      <c r="A7" s="9" t="str">
        <f ca="1">IFERROR(__xludf.DUMMYFUNCTION("""COMPUTED_VALUE"""),"TNH1511 - Proses-proses Tanah")</f>
        <v>TNH1511 - Proses-proses Tanah</v>
      </c>
      <c r="B7" s="44">
        <v>6</v>
      </c>
      <c r="C7" s="35" t="str">
        <f t="shared" ca="1" si="0"/>
        <v>TNH1511</v>
      </c>
      <c r="D7" s="35" t="str">
        <f t="shared" ca="1" si="1"/>
        <v>Proses-proses Tanah</v>
      </c>
      <c r="E7" s="44">
        <f ca="1">IFERROR(VLOOKUP(A7,Mentah!D:J,7,FALSE),"")</f>
        <v>2</v>
      </c>
      <c r="F7" s="44" t="str">
        <f ca="1">IFERROR(VLOOKUP(A7,Mentah!D:K,8,FALSE),"")</f>
        <v>A151</v>
      </c>
      <c r="G7" s="35" t="str">
        <f t="shared" ca="1" si="2"/>
        <v>('TNH1511','Proses-proses Tanah','2','A151'),</v>
      </c>
    </row>
    <row r="8" spans="1:27" ht="15.75" customHeight="1" x14ac:dyDescent="0.25">
      <c r="A8" s="9" t="str">
        <f ca="1">IFERROR(__xludf.DUMMYFUNCTION("""COMPUTED_VALUE"""),"TNH1522 - Kesuburan Tanah Lanjut")</f>
        <v>TNH1522 - Kesuburan Tanah Lanjut</v>
      </c>
      <c r="B8" s="44">
        <v>7</v>
      </c>
      <c r="C8" s="35" t="str">
        <f t="shared" ca="1" si="0"/>
        <v>TNH1522</v>
      </c>
      <c r="D8" s="35" t="str">
        <f t="shared" ca="1" si="1"/>
        <v>Kesuburan Tanah Lanjut</v>
      </c>
      <c r="E8" s="44">
        <f ca="1">IFERROR(VLOOKUP(A8,Mentah!D:J,7,FALSE),"")</f>
        <v>2</v>
      </c>
      <c r="F8" s="44" t="str">
        <f ca="1">IFERROR(VLOOKUP(A8,Mentah!D:K,8,FALSE),"")</f>
        <v>A151</v>
      </c>
      <c r="G8" s="35" t="str">
        <f t="shared" ca="1" si="2"/>
        <v>('TNH1522','Kesuburan Tanah Lanjut','2','A151'),</v>
      </c>
    </row>
    <row r="9" spans="1:27" ht="15.75" customHeight="1" x14ac:dyDescent="0.25">
      <c r="A9" s="9" t="str">
        <f ca="1">IFERROR(__xludf.DUMMYFUNCTION("""COMPUTED_VALUE"""),"TNH1606 - Topik Khusus 4")</f>
        <v>TNH1606 - Topik Khusus 4</v>
      </c>
      <c r="B9" s="44">
        <v>8</v>
      </c>
      <c r="C9" s="35" t="str">
        <f t="shared" ca="1" si="0"/>
        <v>TNH1606</v>
      </c>
      <c r="D9" s="35" t="str">
        <f t="shared" ca="1" si="1"/>
        <v>Topik Khusus 4</v>
      </c>
      <c r="E9" s="44">
        <f ca="1">IFERROR(VLOOKUP(A9,Mentah!D:J,7,FALSE),"")</f>
        <v>2</v>
      </c>
      <c r="F9" s="44" t="str">
        <f ca="1">IFERROR(VLOOKUP(A9,Mentah!D:K,8,FALSE),"")</f>
        <v>A151</v>
      </c>
      <c r="G9" s="35" t="str">
        <f t="shared" ca="1" si="2"/>
        <v>('TNH1606','Topik Khusus 4','2','A151'),</v>
      </c>
    </row>
    <row r="10" spans="1:27" ht="15.75" customHeight="1" x14ac:dyDescent="0.25">
      <c r="A10" s="9" t="str">
        <f ca="1">IFERROR(__xludf.DUMMYFUNCTION("""COMPUTED_VALUE"""),"TNH1612 - Evaluasi Lahan")</f>
        <v>TNH1612 - Evaluasi Lahan</v>
      </c>
      <c r="B10" s="44">
        <v>9</v>
      </c>
      <c r="C10" s="35" t="str">
        <f t="shared" ca="1" si="0"/>
        <v>TNH1612</v>
      </c>
      <c r="D10" s="35" t="str">
        <f t="shared" ca="1" si="1"/>
        <v>Evaluasi Lahan</v>
      </c>
      <c r="E10" s="44">
        <f ca="1">IFERROR(VLOOKUP(A10,Mentah!D:J,7,FALSE),"")</f>
        <v>2</v>
      </c>
      <c r="F10" s="44" t="str">
        <f ca="1">IFERROR(VLOOKUP(A10,Mentah!D:K,8,FALSE),"")</f>
        <v>A151</v>
      </c>
      <c r="G10" s="35" t="str">
        <f t="shared" ca="1" si="2"/>
        <v>('TNH1612','Evaluasi Lahan','2','A151'),</v>
      </c>
    </row>
    <row r="11" spans="1:27" ht="15.75" customHeight="1" x14ac:dyDescent="0.25">
      <c r="A11" s="9" t="str">
        <f ca="1">IFERROR(__xludf.DUMMYFUNCTION("""COMPUTED_VALUE"""),"TNH1632 - Konservasi Tanah dan Air lanjut")</f>
        <v>TNH1632 - Konservasi Tanah dan Air lanjut</v>
      </c>
      <c r="B11" s="44">
        <v>10</v>
      </c>
      <c r="C11" s="35" t="str">
        <f t="shared" ca="1" si="0"/>
        <v>TNH1632</v>
      </c>
      <c r="D11" s="35" t="str">
        <f t="shared" ca="1" si="1"/>
        <v>Konservasi Tanah dan Air lanjut</v>
      </c>
      <c r="E11" s="44">
        <f ca="1">IFERROR(VLOOKUP(A11,Mentah!D:J,7,FALSE),"")</f>
        <v>2</v>
      </c>
      <c r="F11" s="44" t="str">
        <f ca="1">IFERROR(VLOOKUP(A11,Mentah!D:K,8,FALSE),"")</f>
        <v>A151</v>
      </c>
      <c r="G11" s="35" t="str">
        <f t="shared" ca="1" si="2"/>
        <v>('TNH1632','Konservasi Tanah dan Air lanjut','2','A151'),</v>
      </c>
    </row>
    <row r="12" spans="1:27" ht="15.75" customHeight="1" x14ac:dyDescent="0.25">
      <c r="A12" s="9" t="str">
        <f ca="1">IFERROR(__xludf.DUMMYFUNCTION("""COMPUTED_VALUE"""),"TNH1607 - Topik Khusus 5")</f>
        <v>TNH1607 - Topik Khusus 5</v>
      </c>
      <c r="B12" s="44">
        <v>11</v>
      </c>
      <c r="C12" s="35" t="str">
        <f t="shared" ca="1" si="0"/>
        <v>TNH1607</v>
      </c>
      <c r="D12" s="35" t="str">
        <f t="shared" ca="1" si="1"/>
        <v>Topik Khusus 5</v>
      </c>
      <c r="E12" s="44">
        <f ca="1">IFERROR(VLOOKUP(A12,Mentah!D:J,7,FALSE),"")</f>
        <v>2</v>
      </c>
      <c r="F12" s="44" t="str">
        <f ca="1">IFERROR(VLOOKUP(A12,Mentah!D:K,8,FALSE),"")</f>
        <v>A151</v>
      </c>
      <c r="G12" s="35" t="str">
        <f t="shared" ca="1" si="2"/>
        <v>('TNH1607','Topik Khusus 5','2','A151'),</v>
      </c>
    </row>
    <row r="13" spans="1:27" ht="15.75" customHeight="1" x14ac:dyDescent="0.25">
      <c r="A13" s="9" t="str">
        <f ca="1">IFERROR(__xludf.DUMMYFUNCTION("""COMPUTED_VALUE"""),"TNH1642 - Ekologi Tanah Lanjut")</f>
        <v>TNH1642 - Ekologi Tanah Lanjut</v>
      </c>
      <c r="B13" s="44">
        <v>12</v>
      </c>
      <c r="C13" s="35" t="str">
        <f t="shared" ca="1" si="0"/>
        <v>TNH1642</v>
      </c>
      <c r="D13" s="35" t="str">
        <f t="shared" ca="1" si="1"/>
        <v>Ekologi Tanah Lanjut</v>
      </c>
      <c r="E13" s="44">
        <f ca="1">IFERROR(VLOOKUP(A13,Mentah!D:J,7,FALSE),"")</f>
        <v>2</v>
      </c>
      <c r="F13" s="44" t="str">
        <f ca="1">IFERROR(VLOOKUP(A13,Mentah!D:K,8,FALSE),"")</f>
        <v>A151</v>
      </c>
      <c r="G13" s="35" t="str">
        <f t="shared" ca="1" si="2"/>
        <v>('TNH1642','Ekologi Tanah Lanjut','2','A151'),</v>
      </c>
    </row>
    <row r="14" spans="1:27" ht="15.75" customHeight="1" x14ac:dyDescent="0.25">
      <c r="A14" s="9" t="str">
        <f ca="1">IFERROR(__xludf.DUMMYFUNCTION("""COMPUTED_VALUE"""),"TNH1514 - Teknologi Remediasi dan Bahan Amelioran")</f>
        <v>TNH1514 - Teknologi Remediasi dan Bahan Amelioran</v>
      </c>
      <c r="B14" s="44">
        <v>13</v>
      </c>
      <c r="C14" s="35" t="str">
        <f t="shared" ca="1" si="0"/>
        <v>TNH1514</v>
      </c>
      <c r="D14" s="35" t="str">
        <f t="shared" ca="1" si="1"/>
        <v>Teknologi Remediasi dan Bahan Amelioran</v>
      </c>
      <c r="E14" s="44">
        <f ca="1">IFERROR(VLOOKUP(A14,Mentah!D:J,7,FALSE),"")</f>
        <v>2</v>
      </c>
      <c r="F14" s="44" t="str">
        <f ca="1">IFERROR(VLOOKUP(A14,Mentah!D:K,8,FALSE),"")</f>
        <v>A151</v>
      </c>
      <c r="G14" s="35" t="str">
        <f t="shared" ca="1" si="2"/>
        <v>('TNH1514','Teknologi Remediasi dan Bahan Amelioran','2','A151'),</v>
      </c>
    </row>
    <row r="15" spans="1:27" ht="15.75" customHeight="1" x14ac:dyDescent="0.25">
      <c r="A15" s="9" t="str">
        <f ca="1">IFERROR(__xludf.DUMMYFUNCTION("""COMPUTED_VALUE"""),"TNH1541 - Pengomposan Limbah Pertanian")</f>
        <v>TNH1541 - Pengomposan Limbah Pertanian</v>
      </c>
      <c r="B15" s="44">
        <v>14</v>
      </c>
      <c r="C15" s="35" t="str">
        <f t="shared" ca="1" si="0"/>
        <v>TNH1541</v>
      </c>
      <c r="D15" s="35" t="str">
        <f t="shared" ca="1" si="1"/>
        <v>Pengomposan Limbah Pertanian</v>
      </c>
      <c r="E15" s="44">
        <f ca="1">IFERROR(VLOOKUP(A15,Mentah!D:J,7,FALSE),"")</f>
        <v>2</v>
      </c>
      <c r="F15" s="44" t="str">
        <f ca="1">IFERROR(VLOOKUP(A15,Mentah!D:K,8,FALSE),"")</f>
        <v>A151</v>
      </c>
      <c r="G15" s="35" t="str">
        <f t="shared" ca="1" si="2"/>
        <v>('TNH1541','Pengomposan Limbah Pertanian','2','A151'),</v>
      </c>
    </row>
    <row r="16" spans="1:27" ht="15.75" customHeight="1" x14ac:dyDescent="0.25">
      <c r="A16" s="9" t="str">
        <f ca="1">IFERROR(__xludf.DUMMYFUNCTION("""COMPUTED_VALUE"""),"TNH1633 - Ekohidrologi dan Pengelolaan Sumberdaya Air Berkelanjutan")</f>
        <v>TNH1633 - Ekohidrologi dan Pengelolaan Sumberdaya Air Berkelanjutan</v>
      </c>
      <c r="B16" s="44">
        <v>15</v>
      </c>
      <c r="C16" s="35" t="str">
        <f t="shared" ca="1" si="0"/>
        <v>TNH1633</v>
      </c>
      <c r="D16" s="35" t="str">
        <f t="shared" ca="1" si="1"/>
        <v>Ekohidrologi dan Pengelolaan Sumberdaya Air Berkelanjutan</v>
      </c>
      <c r="E16" s="44">
        <f ca="1">IFERROR(VLOOKUP(A16,Mentah!D:J,7,FALSE),"")</f>
        <v>2</v>
      </c>
      <c r="F16" s="44" t="str">
        <f ca="1">IFERROR(VLOOKUP(A16,Mentah!D:K,8,FALSE),"")</f>
        <v>A151</v>
      </c>
      <c r="G16" s="35" t="str">
        <f t="shared" ca="1" si="2"/>
        <v>('TNH1633','Ekohidrologi dan Pengelolaan Sumberdaya Air Berkelanjutan','2','A151'),</v>
      </c>
    </row>
    <row r="17" spans="1:7" ht="15.75" customHeight="1" x14ac:dyDescent="0.25">
      <c r="A17" s="9" t="str">
        <f ca="1">IFERROR(__xludf.DUMMYFUNCTION("""COMPUTED_VALUE"""),"TNH1621 - Pergerakan Hara dalam Sistem Tanah Tanaman")</f>
        <v>TNH1621 - Pergerakan Hara dalam Sistem Tanah Tanaman</v>
      </c>
      <c r="B17" s="44">
        <v>16</v>
      </c>
      <c r="C17" s="35" t="str">
        <f t="shared" ca="1" si="0"/>
        <v>TNH1621</v>
      </c>
      <c r="D17" s="35" t="str">
        <f t="shared" ca="1" si="1"/>
        <v>Pergerakan Hara dalam Sistem Tanah Tanaman</v>
      </c>
      <c r="E17" s="44">
        <f ca="1">IFERROR(VLOOKUP(A17,Mentah!D:J,7,FALSE),"")</f>
        <v>2</v>
      </c>
      <c r="F17" s="44" t="str">
        <f ca="1">IFERROR(VLOOKUP(A17,Mentah!D:K,8,FALSE),"")</f>
        <v>A151</v>
      </c>
      <c r="G17" s="35" t="str">
        <f t="shared" ca="1" si="2"/>
        <v>('TNH1621','Pergerakan Hara dalam Sistem Tanah Tanaman','2','A151'),</v>
      </c>
    </row>
    <row r="18" spans="1:7" ht="15.75" customHeight="1" x14ac:dyDescent="0.25">
      <c r="A18" s="9" t="str">
        <f ca="1">IFERROR(__xludf.DUMMYFUNCTION("""COMPUTED_VALUE"""),"PWL1563 - Perencanaan Sarana dan Prasarana Wilayah")</f>
        <v>PWL1563 - Perencanaan Sarana dan Prasarana Wilayah</v>
      </c>
      <c r="B18" s="44">
        <v>17</v>
      </c>
      <c r="C18" s="35" t="str">
        <f t="shared" ca="1" si="0"/>
        <v>PWL1563</v>
      </c>
      <c r="D18" s="35" t="str">
        <f t="shared" ca="1" si="1"/>
        <v>Perencanaan Sarana dan Prasarana Wilayah</v>
      </c>
      <c r="E18" s="44">
        <f ca="1">IFERROR(VLOOKUP(A18,Mentah!D:J,7,FALSE),"")</f>
        <v>2</v>
      </c>
      <c r="F18" s="44" t="str">
        <f ca="1">IFERROR(VLOOKUP(A18,Mentah!D:K,8,FALSE),"")</f>
        <v>A156</v>
      </c>
      <c r="G18" s="35" t="str">
        <f t="shared" ca="1" si="2"/>
        <v>('PWL1563','Perencanaan Sarana dan Prasarana Wilayah','2','A156'),</v>
      </c>
    </row>
    <row r="19" spans="1:7" ht="15.75" customHeight="1" x14ac:dyDescent="0.25">
      <c r="A19" s="9" t="str">
        <f ca="1">IFERROR(__xludf.DUMMYFUNCTION("""COMPUTED_VALUE"""),"PWL1604 - Kebencanaan Alam dan Mitigasi")</f>
        <v>PWL1604 - Kebencanaan Alam dan Mitigasi</v>
      </c>
      <c r="B19" s="44">
        <v>18</v>
      </c>
      <c r="C19" s="35" t="str">
        <f t="shared" ca="1" si="0"/>
        <v>PWL1604</v>
      </c>
      <c r="D19" s="35" t="str">
        <f t="shared" ca="1" si="1"/>
        <v>Kebencanaan Alam dan Mitigasi</v>
      </c>
      <c r="E19" s="44">
        <f ca="1">IFERROR(VLOOKUP(A19,Mentah!D:J,7,FALSE),"")</f>
        <v>2</v>
      </c>
      <c r="F19" s="44" t="str">
        <f ca="1">IFERROR(VLOOKUP(A19,Mentah!D:K,8,FALSE),"")</f>
        <v>A156</v>
      </c>
      <c r="G19" s="35" t="str">
        <f t="shared" ca="1" si="2"/>
        <v>('PWL1604','Kebencanaan Alam dan Mitigasi','2','A156'),</v>
      </c>
    </row>
    <row r="20" spans="1:7" ht="12.5" x14ac:dyDescent="0.25">
      <c r="A20" s="9" t="str">
        <f ca="1">IFERROR(__xludf.DUMMYFUNCTION("""COMPUTED_VALUE"""),"PWD1503 - Sistem Spasial Ekonomi Wilayah")</f>
        <v>PWD1503 - Sistem Spasial Ekonomi Wilayah</v>
      </c>
      <c r="B20" s="44">
        <v>19</v>
      </c>
      <c r="C20" s="35" t="str">
        <f t="shared" ca="1" si="0"/>
        <v>PWD1503</v>
      </c>
      <c r="D20" s="35" t="str">
        <f t="shared" ca="1" si="1"/>
        <v>Sistem Spasial Ekonomi Wilayah</v>
      </c>
      <c r="E20" s="44">
        <f ca="1">IFERROR(VLOOKUP(A20,Mentah!D:J,7,FALSE),"")</f>
        <v>2</v>
      </c>
      <c r="F20" s="44" t="str">
        <f ca="1">IFERROR(VLOOKUP(A20,Mentah!D:K,8,FALSE),"")</f>
        <v>A156</v>
      </c>
      <c r="G20" s="35" t="str">
        <f t="shared" ca="1" si="2"/>
        <v>('PWD1503','Sistem Spasial Ekonomi Wilayah','2','A156'),</v>
      </c>
    </row>
    <row r="21" spans="1:7" ht="12.5" x14ac:dyDescent="0.25">
      <c r="A21" s="9" t="str">
        <f ca="1">IFERROR(__xludf.DUMMYFUNCTION("""COMPUTED_VALUE"""),"PWL1651 - Penginderaan Jauh dan Sensor Darat")</f>
        <v>PWL1651 - Penginderaan Jauh dan Sensor Darat</v>
      </c>
      <c r="B21" s="44">
        <v>20</v>
      </c>
      <c r="C21" s="35" t="str">
        <f t="shared" ca="1" si="0"/>
        <v>PWL1651</v>
      </c>
      <c r="D21" s="35" t="str">
        <f t="shared" ca="1" si="1"/>
        <v>Penginderaan Jauh dan Sensor Darat</v>
      </c>
      <c r="E21" s="44">
        <f ca="1">IFERROR(VLOOKUP(A21,Mentah!D:J,7,FALSE),"")</f>
        <v>2</v>
      </c>
      <c r="F21" s="44" t="str">
        <f ca="1">IFERROR(VLOOKUP(A21,Mentah!D:K,8,FALSE),"")</f>
        <v>A156</v>
      </c>
      <c r="G21" s="35" t="str">
        <f t="shared" ca="1" si="2"/>
        <v>('PWL1651','Penginderaan Jauh dan Sensor Darat','2','A156'),</v>
      </c>
    </row>
    <row r="22" spans="1:7" ht="12.5" x14ac:dyDescent="0.25">
      <c r="A22" s="9" t="str">
        <f ca="1">IFERROR(__xludf.DUMMYFUNCTION("""COMPUTED_VALUE"""),"PWL1606 - Pengelolaan Resiko Bencana")</f>
        <v>PWL1606 - Pengelolaan Resiko Bencana</v>
      </c>
      <c r="B22" s="44">
        <v>21</v>
      </c>
      <c r="C22" s="35" t="str">
        <f t="shared" ca="1" si="0"/>
        <v>PWL1606</v>
      </c>
      <c r="D22" s="35" t="str">
        <f t="shared" ca="1" si="1"/>
        <v>Pengelolaan Resiko Bencana</v>
      </c>
      <c r="E22" s="44">
        <f ca="1">IFERROR(VLOOKUP(A22,Mentah!D:J,7,FALSE),"")</f>
        <v>2</v>
      </c>
      <c r="F22" s="44" t="str">
        <f ca="1">IFERROR(VLOOKUP(A22,Mentah!D:K,8,FALSE),"")</f>
        <v>A156</v>
      </c>
      <c r="G22" s="35" t="str">
        <f t="shared" ca="1" si="2"/>
        <v>('PWL1606','Pengelolaan Resiko Bencana','2','A156'),</v>
      </c>
    </row>
    <row r="23" spans="1:7" ht="12.5" x14ac:dyDescent="0.25">
      <c r="A23" s="9" t="str">
        <f ca="1">IFERROR(__xludf.DUMMYFUNCTION("""COMPUTED_VALUE"""),"PWL1608 - Pemelajaran Mesin dan Mahadata Spasial")</f>
        <v>PWL1608 - Pemelajaran Mesin dan Mahadata Spasial</v>
      </c>
      <c r="B23" s="44">
        <v>22</v>
      </c>
      <c r="C23" s="35" t="str">
        <f t="shared" ca="1" si="0"/>
        <v>PWL1608</v>
      </c>
      <c r="D23" s="35" t="str">
        <f t="shared" ca="1" si="1"/>
        <v>Pemelajaran Mesin dan Mahadata Spasial</v>
      </c>
      <c r="E23" s="44">
        <f ca="1">IFERROR(VLOOKUP(A23,Mentah!D:J,7,FALSE),"")</f>
        <v>2</v>
      </c>
      <c r="F23" s="44" t="str">
        <f ca="1">IFERROR(VLOOKUP(A23,Mentah!D:K,8,FALSE),"")</f>
        <v>A156</v>
      </c>
      <c r="G23" s="35" t="str">
        <f t="shared" ca="1" si="2"/>
        <v>('PWL1608','Pemelajaran Mesin dan Mahadata Spasial','2','A156'),</v>
      </c>
    </row>
    <row r="24" spans="1:7" ht="12.5" x14ac:dyDescent="0.25">
      <c r="A24" s="9" t="str">
        <f ca="1">IFERROR(__xludf.DUMMYFUNCTION("""COMPUTED_VALUE"""),"PWL1601 - Metodologi Penelitian Spasial")</f>
        <v>PWL1601 - Metodologi Penelitian Spasial</v>
      </c>
      <c r="B24" s="44">
        <v>23</v>
      </c>
      <c r="C24" s="35" t="str">
        <f t="shared" ca="1" si="0"/>
        <v>PWL1601</v>
      </c>
      <c r="D24" s="35" t="str">
        <f t="shared" ca="1" si="1"/>
        <v>Metodologi Penelitian Spasial</v>
      </c>
      <c r="E24" s="44">
        <f ca="1">IFERROR(VLOOKUP(A24,Mentah!D:J,7,FALSE),"")</f>
        <v>2</v>
      </c>
      <c r="F24" s="44" t="str">
        <f ca="1">IFERROR(VLOOKUP(A24,Mentah!D:K,8,FALSE),"")</f>
        <v>A156</v>
      </c>
      <c r="G24" s="35" t="str">
        <f t="shared" ca="1" si="2"/>
        <v>('PWL1601','Metodologi Penelitian Spasial','2','A156'),</v>
      </c>
    </row>
    <row r="25" spans="1:7" ht="12.5" x14ac:dyDescent="0.25">
      <c r="A25" s="9" t="str">
        <f ca="1">IFERROR(__xludf.DUMMYFUNCTION("""COMPUTED_VALUE"""),"PWL1654 - Pemodelan Geospasial")</f>
        <v>PWL1654 - Pemodelan Geospasial</v>
      </c>
      <c r="B25" s="44">
        <v>24</v>
      </c>
      <c r="C25" s="35" t="str">
        <f t="shared" ca="1" si="0"/>
        <v>PWL1654</v>
      </c>
      <c r="D25" s="35" t="str">
        <f t="shared" ca="1" si="1"/>
        <v>Pemodelan Geospasial</v>
      </c>
      <c r="E25" s="44">
        <f ca="1">IFERROR(VLOOKUP(A25,Mentah!D:J,7,FALSE),"")</f>
        <v>2</v>
      </c>
      <c r="F25" s="44" t="str">
        <f ca="1">IFERROR(VLOOKUP(A25,Mentah!D:K,8,FALSE),"")</f>
        <v>A156</v>
      </c>
      <c r="G25" s="35" t="str">
        <f t="shared" ca="1" si="2"/>
        <v>('PWL1654','Pemodelan Geospasial','2','A156'),</v>
      </c>
    </row>
    <row r="26" spans="1:7" ht="12.5" x14ac:dyDescent="0.25">
      <c r="A26" s="9" t="str">
        <f ca="1">IFERROR(__xludf.DUMMYFUNCTION("""COMPUTED_VALUE"""),"PWL1565 - Teknik Valuasi Ekonomi Sumberdaya Wilayah")</f>
        <v>PWL1565 - Teknik Valuasi Ekonomi Sumberdaya Wilayah</v>
      </c>
      <c r="B26" s="44">
        <v>25</v>
      </c>
      <c r="C26" s="35" t="str">
        <f t="shared" ca="1" si="0"/>
        <v>PWL1565</v>
      </c>
      <c r="D26" s="35" t="str">
        <f t="shared" ca="1" si="1"/>
        <v>Teknik Valuasi Ekonomi Sumberdaya Wilayah</v>
      </c>
      <c r="E26" s="44">
        <f ca="1">IFERROR(VLOOKUP(A26,Mentah!D:J,7,FALSE),"")</f>
        <v>2</v>
      </c>
      <c r="F26" s="44" t="str">
        <f ca="1">IFERROR(VLOOKUP(A26,Mentah!D:K,8,FALSE),"")</f>
        <v>A156</v>
      </c>
      <c r="G26" s="35" t="str">
        <f t="shared" ca="1" si="2"/>
        <v>('PWL1565','Teknik Valuasi Ekonomi Sumberdaya Wilayah','2','A156'),</v>
      </c>
    </row>
    <row r="27" spans="1:7" ht="12.5" x14ac:dyDescent="0.25">
      <c r="A27" s="9" t="str">
        <f ca="1">IFERROR(__xludf.DUMMYFUNCTION("""COMPUTED_VALUE"""),"PWL1631 - Pengelolaan DAS")</f>
        <v>PWL1631 - Pengelolaan DAS</v>
      </c>
      <c r="B27" s="44">
        <v>26</v>
      </c>
      <c r="C27" s="35" t="str">
        <f t="shared" ca="1" si="0"/>
        <v>PWL1631</v>
      </c>
      <c r="D27" s="35" t="str">
        <f t="shared" ca="1" si="1"/>
        <v>Pengelolaan DAS</v>
      </c>
      <c r="E27" s="44">
        <f ca="1">IFERROR(VLOOKUP(A27,Mentah!D:J,7,FALSE),"")</f>
        <v>2</v>
      </c>
      <c r="F27" s="44" t="str">
        <f ca="1">IFERROR(VLOOKUP(A27,Mentah!D:K,8,FALSE),"")</f>
        <v>A156</v>
      </c>
      <c r="G27" s="35" t="str">
        <f t="shared" ca="1" si="2"/>
        <v>('PWL1631','Pengelolaan DAS','2','A156'),</v>
      </c>
    </row>
    <row r="28" spans="1:7" ht="12.5" x14ac:dyDescent="0.25">
      <c r="A28" s="9" t="str">
        <f ca="1">IFERROR(__xludf.DUMMYFUNCTION("""COMPUTED_VALUE"""),"TNH1635 - Permodelan DAS dan Jasa Ekosistem")</f>
        <v>TNH1635 - Permodelan DAS dan Jasa Ekosistem</v>
      </c>
      <c r="B28" s="44">
        <v>27</v>
      </c>
      <c r="C28" s="35" t="str">
        <f t="shared" ca="1" si="0"/>
        <v>TNH1635</v>
      </c>
      <c r="D28" s="35" t="str">
        <f t="shared" ca="1" si="1"/>
        <v>Permodelan DAS dan Jasa Ekosistem</v>
      </c>
      <c r="E28" s="44">
        <f ca="1">IFERROR(VLOOKUP(A28,Mentah!D:J,7,FALSE),"")</f>
        <v>2</v>
      </c>
      <c r="F28" s="44" t="str">
        <f ca="1">IFERROR(VLOOKUP(A28,Mentah!D:K,8,FALSE),"")</f>
        <v>A156</v>
      </c>
      <c r="G28" s="35" t="str">
        <f t="shared" ca="1" si="2"/>
        <v>('TNH1635','Permodelan DAS dan Jasa Ekosistem','2','A156'),</v>
      </c>
    </row>
    <row r="29" spans="1:7" ht="12.5" x14ac:dyDescent="0.25">
      <c r="A29" s="9" t="str">
        <f ca="1">IFERROR(__xludf.DUMMYFUNCTION("""COMPUTED_VALUE"""),"PWL1532 - Ketahanan Air")</f>
        <v>PWL1532 - Ketahanan Air</v>
      </c>
      <c r="B29" s="44">
        <v>28</v>
      </c>
      <c r="C29" s="35" t="str">
        <f t="shared" ca="1" si="0"/>
        <v>PWL1532</v>
      </c>
      <c r="D29" s="35" t="str">
        <f t="shared" ca="1" si="1"/>
        <v>Ketahanan Air</v>
      </c>
      <c r="E29" s="44">
        <f ca="1">IFERROR(VLOOKUP(A29,Mentah!D:J,7,FALSE),"")</f>
        <v>2</v>
      </c>
      <c r="F29" s="44" t="str">
        <f ca="1">IFERROR(VLOOKUP(A29,Mentah!D:K,8,FALSE),"")</f>
        <v>A156</v>
      </c>
      <c r="G29" s="35" t="str">
        <f t="shared" ca="1" si="2"/>
        <v>('PWL1532','Ketahanan Air','2','A156'),</v>
      </c>
    </row>
    <row r="30" spans="1:7" ht="12.5" x14ac:dyDescent="0.25">
      <c r="A30" s="9" t="str">
        <f ca="1">IFERROR(__xludf.DUMMYFUNCTION("""COMPUTED_VALUE"""),"PWL1605 - Kerentanan dan Kapasitas Sosial Kebencanaan")</f>
        <v>PWL1605 - Kerentanan dan Kapasitas Sosial Kebencanaan</v>
      </c>
      <c r="B30" s="44">
        <v>29</v>
      </c>
      <c r="C30" s="35" t="str">
        <f t="shared" ca="1" si="0"/>
        <v>PWL1605</v>
      </c>
      <c r="D30" s="35" t="str">
        <f t="shared" ca="1" si="1"/>
        <v>Kerentanan dan Kapasitas Sosial Kebencanaan</v>
      </c>
      <c r="E30" s="44">
        <f ca="1">IFERROR(VLOOKUP(A30,Mentah!D:J,7,FALSE),"")</f>
        <v>2</v>
      </c>
      <c r="F30" s="44" t="str">
        <f ca="1">IFERROR(VLOOKUP(A30,Mentah!D:K,8,FALSE),"")</f>
        <v>A156</v>
      </c>
      <c r="G30" s="35" t="str">
        <f t="shared" ca="1" si="2"/>
        <v>('PWL1605','Kerentanan dan Kapasitas Sosial Kebencanaan','2','A156'),</v>
      </c>
    </row>
    <row r="31" spans="1:7" ht="12.5" x14ac:dyDescent="0.25">
      <c r="A31" s="9" t="str">
        <f ca="1">IFERROR(__xludf.DUMMYFUNCTION("""COMPUTED_VALUE"""),"PWL1531 - Konservasi dan Pengelolaan Ekosistem Khusus")</f>
        <v>PWL1531 - Konservasi dan Pengelolaan Ekosistem Khusus</v>
      </c>
      <c r="B31" s="44">
        <v>30</v>
      </c>
      <c r="C31" s="35" t="str">
        <f t="shared" ca="1" si="0"/>
        <v>PWL1531</v>
      </c>
      <c r="D31" s="35" t="str">
        <f t="shared" ca="1" si="1"/>
        <v>Konservasi dan Pengelolaan Ekosistem Khusus</v>
      </c>
      <c r="E31" s="44">
        <f ca="1">IFERROR(VLOOKUP(A31,Mentah!D:J,7,FALSE),"")</f>
        <v>2</v>
      </c>
      <c r="F31" s="44" t="str">
        <f ca="1">IFERROR(VLOOKUP(A31,Mentah!D:K,8,FALSE),"")</f>
        <v>A156</v>
      </c>
      <c r="G31" s="35" t="str">
        <f t="shared" ca="1" si="2"/>
        <v>('PWL1531','Konservasi dan Pengelolaan Ekosistem Khusus','2','A156'),</v>
      </c>
    </row>
    <row r="32" spans="1:7" ht="12.5" x14ac:dyDescent="0.25">
      <c r="A32" s="9" t="str">
        <f ca="1">IFERROR(__xludf.DUMMYFUNCTION("""COMPUTED_VALUE"""),"PWL1603 - Teknik Analisis Geospasial")</f>
        <v>PWL1603 - Teknik Analisis Geospasial</v>
      </c>
      <c r="B32" s="44">
        <v>31</v>
      </c>
      <c r="C32" s="35" t="str">
        <f t="shared" ca="1" si="0"/>
        <v>PWL1603</v>
      </c>
      <c r="D32" s="35" t="str">
        <f t="shared" ca="1" si="1"/>
        <v>Teknik Analisis Geospasial</v>
      </c>
      <c r="E32" s="44">
        <f ca="1">IFERROR(VLOOKUP(A32,Mentah!D:J,7,FALSE),"")</f>
        <v>2</v>
      </c>
      <c r="F32" s="44" t="str">
        <f ca="1">IFERROR(VLOOKUP(A32,Mentah!D:K,8,FALSE),"")</f>
        <v>A156</v>
      </c>
      <c r="G32" s="35" t="str">
        <f t="shared" ca="1" si="2"/>
        <v>('PWL1603','Teknik Analisis Geospasial','2','A156'),</v>
      </c>
    </row>
    <row r="33" spans="1:7" ht="12.5" x14ac:dyDescent="0.25">
      <c r="A33" s="9" t="str">
        <f ca="1">IFERROR(__xludf.DUMMYFUNCTION("""COMPUTED_VALUE"""),"PTN1504 - Metodologi Penelitian dan Penulisan Ilmiah")</f>
        <v>PTN1504 - Metodologi Penelitian dan Penulisan Ilmiah</v>
      </c>
      <c r="B33" s="44">
        <v>32</v>
      </c>
      <c r="C33" s="35" t="str">
        <f t="shared" ca="1" si="0"/>
        <v>PTN1504</v>
      </c>
      <c r="D33" s="35" t="str">
        <f t="shared" ca="1" si="1"/>
        <v>Metodologi Penelitian dan Penulisan Ilmiah</v>
      </c>
      <c r="E33" s="44">
        <f ca="1">IFERROR(VLOOKUP(A33,Mentah!D:J,7,FALSE),"")</f>
        <v>2</v>
      </c>
      <c r="F33" s="44" t="str">
        <f ca="1">IFERROR(VLOOKUP(A33,Mentah!D:K,8,FALSE),"")</f>
        <v>A251</v>
      </c>
      <c r="G33" s="35" t="str">
        <f t="shared" ca="1" si="2"/>
        <v>('PTN1504','Metodologi Penelitian dan Penulisan Ilmiah','2','A251'),</v>
      </c>
    </row>
    <row r="34" spans="1:7" ht="12.5" x14ac:dyDescent="0.25">
      <c r="A34" s="9" t="str">
        <f ca="1">IFERROR(__xludf.DUMMYFUNCTION("""COMPUTED_VALUE"""),"ENT1601 - Sistem Pengendalian Hama Terpadu")</f>
        <v>ENT1601 - Sistem Pengendalian Hama Terpadu</v>
      </c>
      <c r="B34" s="44">
        <v>33</v>
      </c>
      <c r="C34" s="35" t="str">
        <f t="shared" ca="1" si="0"/>
        <v>ENT1601</v>
      </c>
      <c r="D34" s="35" t="str">
        <f t="shared" ca="1" si="1"/>
        <v>Sistem Pengendalian Hama Terpadu</v>
      </c>
      <c r="E34" s="44">
        <f ca="1">IFERROR(VLOOKUP(A34,Mentah!D:J,7,FALSE),"")</f>
        <v>2</v>
      </c>
      <c r="F34" s="44" t="str">
        <f ca="1">IFERROR(VLOOKUP(A34,Mentah!D:K,8,FALSE),"")</f>
        <v>A251</v>
      </c>
      <c r="G34" s="35" t="str">
        <f t="shared" ca="1" si="2"/>
        <v>('ENT1601','Sistem Pengendalian Hama Terpadu','2','A251'),</v>
      </c>
    </row>
    <row r="35" spans="1:7" ht="12.5" x14ac:dyDescent="0.25">
      <c r="A35" s="9" t="str">
        <f ca="1">IFERROR(__xludf.DUMMYFUNCTION("""COMPUTED_VALUE"""),"FIT1627 - Patogenesis Tumbuhan dan Respon Tanaman Inang")</f>
        <v>FIT1627 - Patogenesis Tumbuhan dan Respon Tanaman Inang</v>
      </c>
      <c r="B35" s="44">
        <v>34</v>
      </c>
      <c r="C35" s="35" t="str">
        <f t="shared" ca="1" si="0"/>
        <v>FIT1627</v>
      </c>
      <c r="D35" s="35" t="str">
        <f t="shared" ca="1" si="1"/>
        <v>Patogenesis Tumbuhan dan Respon Tanaman Inang</v>
      </c>
      <c r="E35" s="44">
        <f ca="1">IFERROR(VLOOKUP(A35,Mentah!D:J,7,FALSE),"")</f>
        <v>2</v>
      </c>
      <c r="F35" s="44" t="str">
        <f ca="1">IFERROR(VLOOKUP(A35,Mentah!D:K,8,FALSE),"")</f>
        <v>A251</v>
      </c>
      <c r="G35" s="35" t="str">
        <f t="shared" ca="1" si="2"/>
        <v>('FIT1627','Patogenesis Tumbuhan dan Respon Tanaman Inang','2','A251'),</v>
      </c>
    </row>
    <row r="36" spans="1:7" ht="12.5" x14ac:dyDescent="0.25">
      <c r="A36" s="9" t="str">
        <f ca="1">IFERROR(__xludf.DUMMYFUNCTION("""COMPUTED_VALUE"""),"FIT1623 - Bakteri Patogen Tumbuhan")</f>
        <v>FIT1623 - Bakteri Patogen Tumbuhan</v>
      </c>
      <c r="B36" s="44">
        <v>35</v>
      </c>
      <c r="C36" s="35" t="str">
        <f t="shared" ca="1" si="0"/>
        <v>FIT1623</v>
      </c>
      <c r="D36" s="35" t="str">
        <f t="shared" ca="1" si="1"/>
        <v>Bakteri Patogen Tumbuhan</v>
      </c>
      <c r="E36" s="44">
        <f ca="1">IFERROR(VLOOKUP(A36,Mentah!D:J,7,FALSE),"")</f>
        <v>2</v>
      </c>
      <c r="F36" s="44" t="str">
        <f ca="1">IFERROR(VLOOKUP(A36,Mentah!D:K,8,FALSE),"")</f>
        <v>A251</v>
      </c>
      <c r="G36" s="35" t="str">
        <f t="shared" ca="1" si="2"/>
        <v>('FIT1623','Bakteri Patogen Tumbuhan','2','A251'),</v>
      </c>
    </row>
    <row r="37" spans="1:7" ht="12.5" x14ac:dyDescent="0.25">
      <c r="A37" s="9" t="str">
        <f ca="1">IFERROR(__xludf.DUMMYFUNCTION("""COMPUTED_VALUE"""),"FIT1624 - Cendawan Patogen Tumbuhan")</f>
        <v>FIT1624 - Cendawan Patogen Tumbuhan</v>
      </c>
      <c r="B37" s="44">
        <v>36</v>
      </c>
      <c r="C37" s="35" t="str">
        <f t="shared" ca="1" si="0"/>
        <v>FIT1624</v>
      </c>
      <c r="D37" s="35" t="str">
        <f t="shared" ca="1" si="1"/>
        <v>Cendawan Patogen Tumbuhan</v>
      </c>
      <c r="E37" s="44">
        <f ca="1">IFERROR(VLOOKUP(A37,Mentah!D:J,7,FALSE),"")</f>
        <v>2</v>
      </c>
      <c r="F37" s="44" t="str">
        <f ca="1">IFERROR(VLOOKUP(A37,Mentah!D:K,8,FALSE),"")</f>
        <v>A251</v>
      </c>
      <c r="G37" s="35" t="str">
        <f t="shared" ca="1" si="2"/>
        <v>('FIT1624','Cendawan Patogen Tumbuhan','2','A251'),</v>
      </c>
    </row>
    <row r="38" spans="1:7" ht="12.5" x14ac:dyDescent="0.25">
      <c r="A38" s="9" t="str">
        <f ca="1">IFERROR(__xludf.DUMMYFUNCTION("""COMPUTED_VALUE"""),"FIT1625 - Nematoda Patogen Tumbuhan")</f>
        <v>FIT1625 - Nematoda Patogen Tumbuhan</v>
      </c>
      <c r="B38" s="44">
        <v>37</v>
      </c>
      <c r="C38" s="35" t="str">
        <f t="shared" ca="1" si="0"/>
        <v>FIT1625</v>
      </c>
      <c r="D38" s="35" t="str">
        <f t="shared" ca="1" si="1"/>
        <v>Nematoda Patogen Tumbuhan</v>
      </c>
      <c r="E38" s="44">
        <f ca="1">IFERROR(VLOOKUP(A38,Mentah!D:J,7,FALSE),"")</f>
        <v>2</v>
      </c>
      <c r="F38" s="44" t="str">
        <f ca="1">IFERROR(VLOOKUP(A38,Mentah!D:K,8,FALSE),"")</f>
        <v>A251</v>
      </c>
      <c r="G38" s="35" t="str">
        <f t="shared" ca="1" si="2"/>
        <v>('FIT1625','Nematoda Patogen Tumbuhan','2','A251'),</v>
      </c>
    </row>
    <row r="39" spans="1:7" ht="12.5" x14ac:dyDescent="0.25">
      <c r="A39" s="9" t="str">
        <f ca="1">IFERROR(__xludf.DUMMYFUNCTION("""COMPUTED_VALUE"""),"FIT1626 - Virologi Patogen Tumbuhan")</f>
        <v>FIT1626 - Virologi Patogen Tumbuhan</v>
      </c>
      <c r="B39" s="44">
        <v>38</v>
      </c>
      <c r="C39" s="35" t="str">
        <f t="shared" ca="1" si="0"/>
        <v>FIT1626</v>
      </c>
      <c r="D39" s="35" t="str">
        <f t="shared" ca="1" si="1"/>
        <v>Virologi Patogen Tumbuhan</v>
      </c>
      <c r="E39" s="44">
        <f ca="1">IFERROR(VLOOKUP(A39,Mentah!D:J,7,FALSE),"")</f>
        <v>2</v>
      </c>
      <c r="F39" s="44" t="str">
        <f ca="1">IFERROR(VLOOKUP(A39,Mentah!D:K,8,FALSE),"")</f>
        <v>A251</v>
      </c>
      <c r="G39" s="35" t="str">
        <f t="shared" ca="1" si="2"/>
        <v>('FIT1626','Virologi Patogen Tumbuhan','2','A251'),</v>
      </c>
    </row>
    <row r="40" spans="1:7" ht="12.5" x14ac:dyDescent="0.25">
      <c r="A40" s="9" t="str">
        <f ca="1">IFERROR(__xludf.DUMMYFUNCTION("""COMPUTED_VALUE"""),"FIT1629 - Patologi Benih")</f>
        <v>FIT1629 - Patologi Benih</v>
      </c>
      <c r="B40" s="44">
        <v>39</v>
      </c>
      <c r="C40" s="35" t="str">
        <f t="shared" ca="1" si="0"/>
        <v>FIT1629</v>
      </c>
      <c r="D40" s="35" t="str">
        <f t="shared" ca="1" si="1"/>
        <v>Patologi Benih</v>
      </c>
      <c r="E40" s="44">
        <f ca="1">IFERROR(VLOOKUP(A40,Mentah!D:J,7,FALSE),"")</f>
        <v>2</v>
      </c>
      <c r="F40" s="44" t="str">
        <f ca="1">IFERROR(VLOOKUP(A40,Mentah!D:K,8,FALSE),"")</f>
        <v>A251</v>
      </c>
      <c r="G40" s="35" t="str">
        <f t="shared" ca="1" si="2"/>
        <v>('FIT1629','Patologi Benih','2','A251'),</v>
      </c>
    </row>
    <row r="41" spans="1:7" ht="12.5" x14ac:dyDescent="0.25">
      <c r="A41" s="9" t="str">
        <f ca="1">IFERROR(__xludf.DUMMYFUNCTION("""COMPUTED_VALUE"""),"FIT1653 - Bioekologi Mikroba Endofit")</f>
        <v>FIT1653 - Bioekologi Mikroba Endofit</v>
      </c>
      <c r="B41" s="44">
        <v>40</v>
      </c>
      <c r="C41" s="35" t="str">
        <f t="shared" ca="1" si="0"/>
        <v>FIT1653</v>
      </c>
      <c r="D41" s="35" t="str">
        <f t="shared" ca="1" si="1"/>
        <v>Bioekologi Mikroba Endofit</v>
      </c>
      <c r="E41" s="44">
        <f ca="1">IFERROR(VLOOKUP(A41,Mentah!D:J,7,FALSE),"")</f>
        <v>2</v>
      </c>
      <c r="F41" s="44" t="str">
        <f ca="1">IFERROR(VLOOKUP(A41,Mentah!D:K,8,FALSE),"")</f>
        <v>A251</v>
      </c>
      <c r="G41" s="35" t="str">
        <f t="shared" ca="1" si="2"/>
        <v>('FIT1653','Bioekologi Mikroba Endofit','2','A251'),</v>
      </c>
    </row>
    <row r="42" spans="1:7" ht="12.5" x14ac:dyDescent="0.25">
      <c r="A42" s="9" t="str">
        <f ca="1">IFERROR(__xludf.DUMMYFUNCTION("""COMPUTED_VALUE"""),"FIT1628 - Epidemiologi Penyakit Tumbuhan")</f>
        <v>FIT1628 - Epidemiologi Penyakit Tumbuhan</v>
      </c>
      <c r="B42" s="44">
        <v>41</v>
      </c>
      <c r="C42" s="35" t="str">
        <f t="shared" ca="1" si="0"/>
        <v>FIT1628</v>
      </c>
      <c r="D42" s="35" t="str">
        <f t="shared" ca="1" si="1"/>
        <v>Epidemiologi Penyakit Tumbuhan</v>
      </c>
      <c r="E42" s="44">
        <f ca="1">IFERROR(VLOOKUP(A42,Mentah!D:J,7,FALSE),"")</f>
        <v>2</v>
      </c>
      <c r="F42" s="44" t="str">
        <f ca="1">IFERROR(VLOOKUP(A42,Mentah!D:K,8,FALSE),"")</f>
        <v>A251</v>
      </c>
      <c r="G42" s="35" t="str">
        <f t="shared" ca="1" si="2"/>
        <v>('FIT1628','Epidemiologi Penyakit Tumbuhan','2','A251'),</v>
      </c>
    </row>
    <row r="43" spans="1:7" ht="12.5" x14ac:dyDescent="0.25">
      <c r="A43" s="9" t="str">
        <f ca="1">IFERROR(__xludf.DUMMYFUNCTION("""COMPUTED_VALUE"""),"ENT1501 - Pestisida dalam Pertanian")</f>
        <v>ENT1501 - Pestisida dalam Pertanian</v>
      </c>
      <c r="B43" s="44">
        <v>42</v>
      </c>
      <c r="C43" s="35" t="str">
        <f t="shared" ca="1" si="0"/>
        <v>ENT1501</v>
      </c>
      <c r="D43" s="35" t="str">
        <f t="shared" ca="1" si="1"/>
        <v>Pestisida dalam Pertanian</v>
      </c>
      <c r="E43" s="44">
        <f ca="1">IFERROR(VLOOKUP(A43,Mentah!D:J,7,FALSE),"")</f>
        <v>2</v>
      </c>
      <c r="F43" s="44" t="str">
        <f ca="1">IFERROR(VLOOKUP(A43,Mentah!D:K,8,FALSE),"")</f>
        <v>A251</v>
      </c>
      <c r="G43" s="35" t="str">
        <f t="shared" ca="1" si="2"/>
        <v>('ENT1501','Pestisida dalam Pertanian','2','A251'),</v>
      </c>
    </row>
    <row r="44" spans="1:7" ht="12.5" x14ac:dyDescent="0.25">
      <c r="A44" s="9" t="str">
        <f ca="1">IFERROR(__xludf.DUMMYFUNCTION("""COMPUTED_VALUE"""),"AGH1628 - Fisiologi Cekaman Bagi Tanaman")</f>
        <v>AGH1628 - Fisiologi Cekaman Bagi Tanaman</v>
      </c>
      <c r="B44" s="44">
        <v>43</v>
      </c>
      <c r="C44" s="35" t="str">
        <f t="shared" ca="1" si="0"/>
        <v>AGH1628</v>
      </c>
      <c r="D44" s="35" t="str">
        <f t="shared" ca="1" si="1"/>
        <v>Fisiologi Cekaman Bagi Tanaman</v>
      </c>
      <c r="E44" s="44">
        <f ca="1">IFERROR(VLOOKUP(A44,Mentah!D:J,7,FALSE),"")</f>
        <v>1</v>
      </c>
      <c r="F44" s="44" t="str">
        <f ca="1">IFERROR(VLOOKUP(A44,Mentah!D:K,8,FALSE),"")</f>
        <v>A252</v>
      </c>
      <c r="G44" s="35" t="str">
        <f t="shared" ca="1" si="2"/>
        <v>('AGH1628','Fisiologi Cekaman Bagi Tanaman','1','A252'),</v>
      </c>
    </row>
    <row r="45" spans="1:7" ht="12.5" x14ac:dyDescent="0.25">
      <c r="A45" s="9" t="str">
        <f ca="1">IFERROR(__xludf.DUMMYFUNCTION("""COMPUTED_VALUE"""),"AGH1602 - Ekofisiologi Tanaman Tropika")</f>
        <v>AGH1602 - Ekofisiologi Tanaman Tropika</v>
      </c>
      <c r="B45" s="44">
        <v>44</v>
      </c>
      <c r="C45" s="35" t="str">
        <f t="shared" ca="1" si="0"/>
        <v>AGH1602</v>
      </c>
      <c r="D45" s="35" t="str">
        <f t="shared" ca="1" si="1"/>
        <v>Ekofisiologi Tanaman Tropika</v>
      </c>
      <c r="E45" s="44">
        <f ca="1">IFERROR(VLOOKUP(A45,Mentah!D:J,7,FALSE),"")</f>
        <v>1</v>
      </c>
      <c r="F45" s="44" t="str">
        <f ca="1">IFERROR(VLOOKUP(A45,Mentah!D:K,8,FALSE),"")</f>
        <v>A252</v>
      </c>
      <c r="G45" s="35" t="str">
        <f t="shared" ca="1" si="2"/>
        <v>('AGH1602','Ekofisiologi Tanaman Tropika','1','A252'),</v>
      </c>
    </row>
    <row r="46" spans="1:7" ht="12.5" x14ac:dyDescent="0.25">
      <c r="A46" s="9" t="str">
        <f ca="1">IFERROR(__xludf.DUMMYFUNCTION("""COMPUTED_VALUE"""),"AGH1624 - Fisiologi Pasca Panen")</f>
        <v>AGH1624 - Fisiologi Pasca Panen</v>
      </c>
      <c r="B46" s="44">
        <v>45</v>
      </c>
      <c r="C46" s="35" t="str">
        <f t="shared" ca="1" si="0"/>
        <v>AGH1624</v>
      </c>
      <c r="D46" s="35" t="str">
        <f t="shared" ca="1" si="1"/>
        <v>Fisiologi Pasca Panen</v>
      </c>
      <c r="E46" s="44">
        <f ca="1">IFERROR(VLOOKUP(A46,Mentah!D:J,7,FALSE),"")</f>
        <v>1</v>
      </c>
      <c r="F46" s="44" t="str">
        <f ca="1">IFERROR(VLOOKUP(A46,Mentah!D:K,8,FALSE),"")</f>
        <v>A252</v>
      </c>
      <c r="G46" s="35" t="str">
        <f t="shared" ca="1" si="2"/>
        <v>('AGH1624','Fisiologi Pasca Panen','1','A252'),</v>
      </c>
    </row>
    <row r="47" spans="1:7" ht="12.5" x14ac:dyDescent="0.25">
      <c r="A47" s="9" t="str">
        <f ca="1">IFERROR(__xludf.DUMMYFUNCTION("""COMPUTED_VALUE"""),"AGH1642 - Pengembangan Produksi Tanaman")</f>
        <v>AGH1642 - Pengembangan Produksi Tanaman</v>
      </c>
      <c r="B47" s="44">
        <v>46</v>
      </c>
      <c r="C47" s="35" t="str">
        <f t="shared" ca="1" si="0"/>
        <v>AGH1642</v>
      </c>
      <c r="D47" s="35" t="str">
        <f t="shared" ca="1" si="1"/>
        <v>Pengembangan Produksi Tanaman</v>
      </c>
      <c r="E47" s="44">
        <f ca="1">IFERROR(VLOOKUP(A47,Mentah!D:J,7,FALSE),"")</f>
        <v>1</v>
      </c>
      <c r="F47" s="44" t="str">
        <f ca="1">IFERROR(VLOOKUP(A47,Mentah!D:K,8,FALSE),"")</f>
        <v>A252</v>
      </c>
      <c r="G47" s="35" t="str">
        <f t="shared" ca="1" si="2"/>
        <v>('AGH1642','Pengembangan Produksi Tanaman','1','A252'),</v>
      </c>
    </row>
    <row r="48" spans="1:7" ht="12.5" x14ac:dyDescent="0.25">
      <c r="A48" s="9" t="str">
        <f ca="1">IFERROR(__xludf.DUMMYFUNCTION("""COMPUTED_VALUE"""),"AGH1501 - Metodologi Penelitian")</f>
        <v>AGH1501 - Metodologi Penelitian</v>
      </c>
      <c r="B48" s="44">
        <v>47</v>
      </c>
      <c r="C48" s="35" t="str">
        <f t="shared" ca="1" si="0"/>
        <v>AGH1501</v>
      </c>
      <c r="D48" s="35" t="str">
        <f t="shared" ca="1" si="1"/>
        <v>Metodologi Penelitian</v>
      </c>
      <c r="E48" s="44">
        <f ca="1">IFERROR(VLOOKUP(A48,Mentah!D:J,7,FALSE),"")</f>
        <v>1</v>
      </c>
      <c r="F48" s="44" t="str">
        <f ca="1">IFERROR(VLOOKUP(A48,Mentah!D:K,8,FALSE),"")</f>
        <v>A252</v>
      </c>
      <c r="G48" s="35" t="str">
        <f t="shared" ca="1" si="2"/>
        <v>('AGH1501','Metodologi Penelitian','1','A252'),</v>
      </c>
    </row>
    <row r="49" spans="1:7" ht="12.5" x14ac:dyDescent="0.25">
      <c r="A49" s="9" t="str">
        <f ca="1">IFERROR(__xludf.DUMMYFUNCTION("""COMPUTED_VALUE"""),"AGH1626 - Metabolisme Tanaman Lanjut")</f>
        <v>AGH1626 - Metabolisme Tanaman Lanjut</v>
      </c>
      <c r="B49" s="44">
        <v>48</v>
      </c>
      <c r="C49" s="35" t="str">
        <f t="shared" ca="1" si="0"/>
        <v>AGH1626</v>
      </c>
      <c r="D49" s="35" t="str">
        <f t="shared" ca="1" si="1"/>
        <v>Metabolisme Tanaman Lanjut</v>
      </c>
      <c r="E49" s="44">
        <f ca="1">IFERROR(VLOOKUP(A49,Mentah!D:J,7,FALSE),"")</f>
        <v>1</v>
      </c>
      <c r="F49" s="44" t="str">
        <f ca="1">IFERROR(VLOOKUP(A49,Mentah!D:K,8,FALSE),"")</f>
        <v>A252</v>
      </c>
      <c r="G49" s="35" t="str">
        <f t="shared" ca="1" si="2"/>
        <v>('AGH1626','Metabolisme Tanaman Lanjut','1','A252'),</v>
      </c>
    </row>
    <row r="50" spans="1:7" ht="12.5" x14ac:dyDescent="0.25">
      <c r="A50" s="9" t="str">
        <f ca="1">IFERROR(__xludf.DUMMYFUNCTION("""COMPUTED_VALUE"""),"AGH162E - Pengelolaan Limbah untuk Pertanian")</f>
        <v>AGH162E - Pengelolaan Limbah untuk Pertanian</v>
      </c>
      <c r="B50" s="44">
        <v>49</v>
      </c>
      <c r="C50" s="35" t="str">
        <f t="shared" ca="1" si="0"/>
        <v>AGH162E</v>
      </c>
      <c r="D50" s="35" t="str">
        <f t="shared" ca="1" si="1"/>
        <v>Pengelolaan Limbah untuk Pertanian</v>
      </c>
      <c r="E50" s="44">
        <f ca="1">IFERROR(VLOOKUP(A50,Mentah!D:J,7,FALSE),"")</f>
        <v>1</v>
      </c>
      <c r="F50" s="44" t="str">
        <f ca="1">IFERROR(VLOOKUP(A50,Mentah!D:K,8,FALSE),"")</f>
        <v>A252</v>
      </c>
      <c r="G50" s="35" t="str">
        <f t="shared" ca="1" si="2"/>
        <v>('AGH162E','Pengelolaan Limbah untuk Pertanian','1','A252'),</v>
      </c>
    </row>
    <row r="51" spans="1:7" ht="12.5" x14ac:dyDescent="0.25">
      <c r="A51" s="9" t="str">
        <f ca="1">IFERROR(__xludf.DUMMYFUNCTION("""COMPUTED_VALUE"""),"AGH1503 - Hortikultura Lanjut")</f>
        <v>AGH1503 - Hortikultura Lanjut</v>
      </c>
      <c r="B51" s="44">
        <v>50</v>
      </c>
      <c r="C51" s="35" t="str">
        <f t="shared" ca="1" si="0"/>
        <v>AGH1503</v>
      </c>
      <c r="D51" s="35" t="str">
        <f t="shared" ca="1" si="1"/>
        <v>Hortikultura Lanjut</v>
      </c>
      <c r="E51" s="44">
        <f ca="1">IFERROR(VLOOKUP(A51,Mentah!D:J,7,FALSE),"")</f>
        <v>1</v>
      </c>
      <c r="F51" s="44" t="str">
        <f ca="1">IFERROR(VLOOKUP(A51,Mentah!D:K,8,FALSE),"")</f>
        <v>A252</v>
      </c>
      <c r="G51" s="35" t="str">
        <f t="shared" ca="1" si="2"/>
        <v>('AGH1503','Hortikultura Lanjut','1','A252'),</v>
      </c>
    </row>
    <row r="52" spans="1:7" ht="12.5" x14ac:dyDescent="0.25">
      <c r="A52" s="9" t="str">
        <f ca="1">IFERROR(__xludf.DUMMYFUNCTION("""COMPUTED_VALUE"""),"PBT1501 - Analisis Genetik Tanaman")</f>
        <v>PBT1501 - Analisis Genetik Tanaman</v>
      </c>
      <c r="B52" s="44">
        <v>51</v>
      </c>
      <c r="C52" s="35" t="str">
        <f t="shared" ca="1" si="0"/>
        <v>PBT1501</v>
      </c>
      <c r="D52" s="35" t="str">
        <f t="shared" ca="1" si="1"/>
        <v>Analisis Genetik Tanaman</v>
      </c>
      <c r="E52" s="44">
        <f ca="1">IFERROR(VLOOKUP(A52,Mentah!D:J,7,FALSE),"")</f>
        <v>2</v>
      </c>
      <c r="F52" s="44" t="str">
        <f ca="1">IFERROR(VLOOKUP(A52,Mentah!D:K,8,FALSE),"")</f>
        <v>A253</v>
      </c>
      <c r="G52" s="35" t="str">
        <f t="shared" ca="1" si="2"/>
        <v>('PBT1501','Analisis Genetik Tanaman','2','A253'),</v>
      </c>
    </row>
    <row r="53" spans="1:7" ht="12.5" x14ac:dyDescent="0.25">
      <c r="A53" s="9" t="str">
        <f ca="1">IFERROR(__xludf.DUMMYFUNCTION("""COMPUTED_VALUE"""),"PBT1636 - Teknik Laboratorium dalam Bioteknologi Tanaman")</f>
        <v>PBT1636 - Teknik Laboratorium dalam Bioteknologi Tanaman</v>
      </c>
      <c r="B53" s="44">
        <v>52</v>
      </c>
      <c r="C53" s="35" t="str">
        <f t="shared" ca="1" si="0"/>
        <v>PBT1636</v>
      </c>
      <c r="D53" s="35" t="str">
        <f t="shared" ca="1" si="1"/>
        <v>Teknik Laboratorium dalam Bioteknologi Tanaman</v>
      </c>
      <c r="E53" s="44">
        <f ca="1">IFERROR(VLOOKUP(A53,Mentah!D:J,7,FALSE),"")</f>
        <v>1</v>
      </c>
      <c r="F53" s="44" t="str">
        <f ca="1">IFERROR(VLOOKUP(A53,Mentah!D:K,8,FALSE),"")</f>
        <v>A253</v>
      </c>
      <c r="G53" s="35" t="str">
        <f t="shared" ca="1" si="2"/>
        <v>('PBT1636','Teknik Laboratorium dalam Bioteknologi Tanaman','1','A253'),</v>
      </c>
    </row>
    <row r="54" spans="1:7" ht="12.5" x14ac:dyDescent="0.25">
      <c r="A54" s="9" t="str">
        <f ca="1">IFERROR(__xludf.DUMMYFUNCTION("""COMPUTED_VALUE"""),"PBT1611 - Genetika Kuantitatif")</f>
        <v>PBT1611 - Genetika Kuantitatif</v>
      </c>
      <c r="B54" s="44">
        <v>53</v>
      </c>
      <c r="C54" s="35" t="str">
        <f t="shared" ca="1" si="0"/>
        <v>PBT1611</v>
      </c>
      <c r="D54" s="35" t="str">
        <f t="shared" ca="1" si="1"/>
        <v>Genetika Kuantitatif</v>
      </c>
      <c r="E54" s="44">
        <f ca="1">IFERROR(VLOOKUP(A54,Mentah!D:J,7,FALSE),"")</f>
        <v>1</v>
      </c>
      <c r="F54" s="44" t="str">
        <f ca="1">IFERROR(VLOOKUP(A54,Mentah!D:K,8,FALSE),"")</f>
        <v>A253</v>
      </c>
      <c r="G54" s="35" t="str">
        <f t="shared" ca="1" si="2"/>
        <v>('PBT1611','Genetika Kuantitatif','1','A253'),</v>
      </c>
    </row>
    <row r="55" spans="1:7" ht="12.5" x14ac:dyDescent="0.25">
      <c r="A55" s="9" t="str">
        <f ca="1">IFERROR(__xludf.DUMMYFUNCTION("""COMPUTED_VALUE"""),"PBT1602 - Pemuliaan Tanaman")</f>
        <v>PBT1602 - Pemuliaan Tanaman</v>
      </c>
      <c r="B55" s="44">
        <v>54</v>
      </c>
      <c r="C55" s="35" t="str">
        <f t="shared" ca="1" si="0"/>
        <v>PBT1602</v>
      </c>
      <c r="D55" s="35" t="str">
        <f t="shared" ca="1" si="1"/>
        <v>Pemuliaan Tanaman</v>
      </c>
      <c r="E55" s="44">
        <f ca="1">IFERROR(VLOOKUP(A55,Mentah!D:J,7,FALSE),"")</f>
        <v>1</v>
      </c>
      <c r="F55" s="44" t="str">
        <f ca="1">IFERROR(VLOOKUP(A55,Mentah!D:K,8,FALSE),"")</f>
        <v>A253</v>
      </c>
      <c r="G55" s="35" t="str">
        <f t="shared" ca="1" si="2"/>
        <v>('PBT1602','Pemuliaan Tanaman','1','A253'),</v>
      </c>
    </row>
    <row r="56" spans="1:7" ht="12.5" x14ac:dyDescent="0.25">
      <c r="A56" s="9" t="str">
        <f ca="1">IFERROR(__xludf.DUMMYFUNCTION("""COMPUTED_VALUE"""),"PBT1633 - Rekayasa Genetika Tanaman")</f>
        <v>PBT1633 - Rekayasa Genetika Tanaman</v>
      </c>
      <c r="B56" s="44">
        <v>55</v>
      </c>
      <c r="C56" s="35" t="str">
        <f t="shared" ca="1" si="0"/>
        <v>PBT1633</v>
      </c>
      <c r="D56" s="35" t="str">
        <f t="shared" ca="1" si="1"/>
        <v>Rekayasa Genetika Tanaman</v>
      </c>
      <c r="E56" s="44">
        <f ca="1">IFERROR(VLOOKUP(A56,Mentah!D:J,7,FALSE),"")</f>
        <v>1</v>
      </c>
      <c r="F56" s="44" t="str">
        <f ca="1">IFERROR(VLOOKUP(A56,Mentah!D:K,8,FALSE),"")</f>
        <v>A253</v>
      </c>
      <c r="G56" s="35" t="str">
        <f t="shared" ca="1" si="2"/>
        <v>('PBT1633','Rekayasa Genetika Tanaman','1','A253'),</v>
      </c>
    </row>
    <row r="57" spans="1:7" ht="12.5" x14ac:dyDescent="0.25">
      <c r="A57" s="9" t="str">
        <f ca="1">IFERROR(__xludf.DUMMYFUNCTION("""COMPUTED_VALUE"""),"PBT1615 - Pemuliaan Mutasi")</f>
        <v>PBT1615 - Pemuliaan Mutasi</v>
      </c>
      <c r="B57" s="44">
        <v>56</v>
      </c>
      <c r="C57" s="35" t="str">
        <f t="shared" ca="1" si="0"/>
        <v>PBT1615</v>
      </c>
      <c r="D57" s="35" t="str">
        <f t="shared" ca="1" si="1"/>
        <v>Pemuliaan Mutasi</v>
      </c>
      <c r="E57" s="44">
        <f ca="1">IFERROR(VLOOKUP(A57,Mentah!D:J,7,FALSE),"")</f>
        <v>1</v>
      </c>
      <c r="F57" s="44" t="str">
        <f ca="1">IFERROR(VLOOKUP(A57,Mentah!D:K,8,FALSE),"")</f>
        <v>A253</v>
      </c>
      <c r="G57" s="35" t="str">
        <f t="shared" ca="1" si="2"/>
        <v>('PBT1615','Pemuliaan Mutasi','1','A253'),</v>
      </c>
    </row>
    <row r="58" spans="1:7" ht="12.5" x14ac:dyDescent="0.25">
      <c r="A58" s="9" t="str">
        <f ca="1">IFERROR(__xludf.DUMMYFUNCTION("""COMPUTED_VALUE"""),"PBT1603 - Analisis Seluler dalam Pemuliaan Tanaman")</f>
        <v>PBT1603 - Analisis Seluler dalam Pemuliaan Tanaman</v>
      </c>
      <c r="B58" s="44">
        <v>57</v>
      </c>
      <c r="C58" s="35" t="str">
        <f t="shared" ca="1" si="0"/>
        <v>PBT1603</v>
      </c>
      <c r="D58" s="35" t="str">
        <f t="shared" ca="1" si="1"/>
        <v>Analisis Seluler dalam Pemuliaan Tanaman</v>
      </c>
      <c r="E58" s="44">
        <f ca="1">IFERROR(VLOOKUP(A58,Mentah!D:J,7,FALSE),"")</f>
        <v>1</v>
      </c>
      <c r="F58" s="44" t="str">
        <f ca="1">IFERROR(VLOOKUP(A58,Mentah!D:K,8,FALSE),"")</f>
        <v>A253</v>
      </c>
      <c r="G58" s="35" t="str">
        <f t="shared" ca="1" si="2"/>
        <v>('PBT1603','Analisis Seluler dalam Pemuliaan Tanaman','1','A253'),</v>
      </c>
    </row>
    <row r="59" spans="1:7" ht="12.5" x14ac:dyDescent="0.25">
      <c r="A59" s="9" t="str">
        <f ca="1">IFERROR(__xludf.DUMMYFUNCTION("""COMPUTED_VALUE"""),"PBT1635 - Biologi dan Fisiologi Sel Tanaman")</f>
        <v>PBT1635 - Biologi dan Fisiologi Sel Tanaman</v>
      </c>
      <c r="B59" s="44">
        <v>58</v>
      </c>
      <c r="C59" s="35" t="str">
        <f t="shared" ca="1" si="0"/>
        <v>PBT1635</v>
      </c>
      <c r="D59" s="35" t="str">
        <f t="shared" ca="1" si="1"/>
        <v>Biologi dan Fisiologi Sel Tanaman</v>
      </c>
      <c r="E59" s="44">
        <f ca="1">IFERROR(VLOOKUP(A59,Mentah!D:J,7,FALSE),"")</f>
        <v>1</v>
      </c>
      <c r="F59" s="44" t="str">
        <f ca="1">IFERROR(VLOOKUP(A59,Mentah!D:K,8,FALSE),"")</f>
        <v>A253</v>
      </c>
      <c r="G59" s="35" t="str">
        <f t="shared" ca="1" si="2"/>
        <v>('PBT1635','Biologi dan Fisiologi Sel Tanaman','1','A253'),</v>
      </c>
    </row>
    <row r="60" spans="1:7" ht="12.5" x14ac:dyDescent="0.25">
      <c r="A60" s="9" t="str">
        <f ca="1">IFERROR(__xludf.DUMMYFUNCTION("""COMPUTED_VALUE"""),"PBT1604 - Metode Penelitian dan Publikasi Ilmiah")</f>
        <v>PBT1604 - Metode Penelitian dan Publikasi Ilmiah</v>
      </c>
      <c r="B60" s="44">
        <v>59</v>
      </c>
      <c r="C60" s="35" t="str">
        <f t="shared" ca="1" si="0"/>
        <v>PBT1604</v>
      </c>
      <c r="D60" s="35" t="str">
        <f t="shared" ca="1" si="1"/>
        <v>Metode Penelitian dan Publikasi Ilmiah</v>
      </c>
      <c r="E60" s="44">
        <f ca="1">IFERROR(VLOOKUP(A60,Mentah!D:J,7,FALSE),"")</f>
        <v>1</v>
      </c>
      <c r="F60" s="44" t="str">
        <f ca="1">IFERROR(VLOOKUP(A60,Mentah!D:K,8,FALSE),"")</f>
        <v>A253</v>
      </c>
      <c r="G60" s="35" t="str">
        <f t="shared" ca="1" si="2"/>
        <v>('PBT1604','Metode Penelitian dan Publikasi Ilmiah','1','A253'),</v>
      </c>
    </row>
    <row r="61" spans="1:7" ht="12.5" x14ac:dyDescent="0.25">
      <c r="A61" s="9" t="str">
        <f ca="1">IFERROR(__xludf.DUMMYFUNCTION("""COMPUTED_VALUE"""),"ENT1616 - Patologi Serangga")</f>
        <v>ENT1616 - Patologi Serangga</v>
      </c>
      <c r="B61" s="44">
        <v>60</v>
      </c>
      <c r="C61" s="35" t="str">
        <f t="shared" ca="1" si="0"/>
        <v>ENT1616</v>
      </c>
      <c r="D61" s="35" t="str">
        <f t="shared" ca="1" si="1"/>
        <v>Patologi Serangga</v>
      </c>
      <c r="E61" s="44">
        <f ca="1">IFERROR(VLOOKUP(A61,Mentah!D:J,7,FALSE),"")</f>
        <v>2</v>
      </c>
      <c r="F61" s="44" t="str">
        <f ca="1">IFERROR(VLOOKUP(A61,Mentah!D:K,8,FALSE),"")</f>
        <v>A351</v>
      </c>
      <c r="G61" s="35" t="str">
        <f t="shared" ca="1" si="2"/>
        <v>('ENT1616','Patologi Serangga','2','A351'),</v>
      </c>
    </row>
    <row r="62" spans="1:7" ht="12.5" x14ac:dyDescent="0.25">
      <c r="A62" s="9" t="str">
        <f ca="1">IFERROR(__xludf.DUMMYFUNCTION("""COMPUTED_VALUE"""),"PHT1537 - Pengendalian Terpadu Hama dan Penyakit Tanaman Perkebunan")</f>
        <v>PHT1537 - Pengendalian Terpadu Hama dan Penyakit Tanaman Perkebunan</v>
      </c>
      <c r="B62" s="44">
        <v>61</v>
      </c>
      <c r="C62" s="35" t="str">
        <f t="shared" ca="1" si="0"/>
        <v>PHT1537</v>
      </c>
      <c r="D62" s="35" t="str">
        <f t="shared" ca="1" si="1"/>
        <v>Pengendalian Terpadu Hama dan Penyakit Tanaman Perkebunan</v>
      </c>
      <c r="E62" s="44">
        <f ca="1">IFERROR(VLOOKUP(A62,Mentah!D:J,7,FALSE),"")</f>
        <v>2</v>
      </c>
      <c r="F62" s="44" t="str">
        <f ca="1">IFERROR(VLOOKUP(A62,Mentah!D:K,8,FALSE),"")</f>
        <v>A351</v>
      </c>
      <c r="G62" s="35" t="str">
        <f t="shared" ca="1" si="2"/>
        <v>('PHT1537','Pengendalian Terpadu Hama dan Penyakit Tanaman Perkebunan','2','A351'),</v>
      </c>
    </row>
    <row r="63" spans="1:7" ht="12.5" x14ac:dyDescent="0.25">
      <c r="A63" s="9" t="str">
        <f ca="1">IFERROR(__xludf.DUMMYFUNCTION("""COMPUTED_VALUE"""),"ENT1641 - Serangga Berguna dalam Pertanian dan Lingkungan")</f>
        <v>ENT1641 - Serangga Berguna dalam Pertanian dan Lingkungan</v>
      </c>
      <c r="B63" s="44">
        <v>62</v>
      </c>
      <c r="C63" s="35" t="str">
        <f t="shared" ca="1" si="0"/>
        <v>ENT1641</v>
      </c>
      <c r="D63" s="35" t="str">
        <f t="shared" ca="1" si="1"/>
        <v>Serangga Berguna dalam Pertanian dan Lingkungan</v>
      </c>
      <c r="E63" s="44">
        <f ca="1">IFERROR(VLOOKUP(A63,Mentah!D:J,7,FALSE),"")</f>
        <v>2</v>
      </c>
      <c r="F63" s="44" t="str">
        <f ca="1">IFERROR(VLOOKUP(A63,Mentah!D:K,8,FALSE),"")</f>
        <v>A351</v>
      </c>
      <c r="G63" s="35" t="str">
        <f t="shared" ca="1" si="2"/>
        <v>('ENT1641','Serangga Berguna dalam Pertanian dan Lingkungan','2','A351'),</v>
      </c>
    </row>
    <row r="64" spans="1:7" ht="12.5" x14ac:dyDescent="0.25">
      <c r="A64" s="9" t="str">
        <f ca="1">IFERROR(__xludf.DUMMYFUNCTION("""COMPUTED_VALUE"""),"ENT1533 - Pengendalian Hayati Hama dan Penyakit Tumbuhan")</f>
        <v>ENT1533 - Pengendalian Hayati Hama dan Penyakit Tumbuhan</v>
      </c>
      <c r="B64" s="44">
        <v>63</v>
      </c>
      <c r="C64" s="35" t="str">
        <f t="shared" ca="1" si="0"/>
        <v>ENT1533</v>
      </c>
      <c r="D64" s="35" t="str">
        <f t="shared" ca="1" si="1"/>
        <v>Pengendalian Hayati Hama dan Penyakit Tumbuhan</v>
      </c>
      <c r="E64" s="44">
        <f ca="1">IFERROR(VLOOKUP(A64,Mentah!D:J,7,FALSE),"")</f>
        <v>2</v>
      </c>
      <c r="F64" s="44" t="str">
        <f ca="1">IFERROR(VLOOKUP(A64,Mentah!D:K,8,FALSE),"")</f>
        <v>A351</v>
      </c>
      <c r="G64" s="35" t="str">
        <f t="shared" ca="1" si="2"/>
        <v>('ENT1533','Pengendalian Hayati Hama dan Penyakit Tumbuhan','2','A351'),</v>
      </c>
    </row>
    <row r="65" spans="1:7" ht="12.5" x14ac:dyDescent="0.25">
      <c r="A65" s="9" t="str">
        <f ca="1">IFERROR(__xludf.DUMMYFUNCTION("""COMPUTED_VALUE"""),"PHT1538 - Ilmu dan Manajemen Vertebrate Hama")</f>
        <v>PHT1538 - Ilmu dan Manajemen Vertebrate Hama</v>
      </c>
      <c r="B65" s="44">
        <v>64</v>
      </c>
      <c r="C65" s="35" t="str">
        <f t="shared" ca="1" si="0"/>
        <v>PHT1538</v>
      </c>
      <c r="D65" s="35" t="str">
        <f t="shared" ca="1" si="1"/>
        <v>Ilmu dan Manajemen Vertebrate Hama</v>
      </c>
      <c r="E65" s="44">
        <f ca="1">IFERROR(VLOOKUP(A65,Mentah!D:J,7,FALSE),"")</f>
        <v>2</v>
      </c>
      <c r="F65" s="44" t="str">
        <f ca="1">IFERROR(VLOOKUP(A65,Mentah!D:K,8,FALSE),"")</f>
        <v>A351</v>
      </c>
      <c r="G65" s="35" t="str">
        <f t="shared" ca="1" si="2"/>
        <v>('PHT1538','Ilmu dan Manajemen Vertebrate Hama','2','A351'),</v>
      </c>
    </row>
    <row r="66" spans="1:7" ht="12.5" x14ac:dyDescent="0.25">
      <c r="A66" s="9" t="str">
        <f ca="1">IFERROR(__xludf.DUMMYFUNCTION("""COMPUTED_VALUE"""),"ENT1613 - Pengendalian Hayati Hama Tumbuhan")</f>
        <v>ENT1613 - Pengendalian Hayati Hama Tumbuhan</v>
      </c>
      <c r="B66" s="44">
        <v>65</v>
      </c>
      <c r="C66" s="35" t="str">
        <f t="shared" ref="C66:C129" ca="1" si="3">IFERROR(LEFT(A66,7),"")</f>
        <v>ENT1613</v>
      </c>
      <c r="D66" s="35" t="str">
        <f t="shared" ref="D66:D129" ca="1" si="4">IFERROR(MID(A66,11,99),"")</f>
        <v>Pengendalian Hayati Hama Tumbuhan</v>
      </c>
      <c r="E66" s="44">
        <f ca="1">IFERROR(VLOOKUP(A66,Mentah!D:J,7,FALSE),"")</f>
        <v>2</v>
      </c>
      <c r="F66" s="44" t="str">
        <f ca="1">IFERROR(VLOOKUP(A66,Mentah!D:K,8,FALSE),"")</f>
        <v>A351</v>
      </c>
      <c r="G66" s="35" t="str">
        <f t="shared" ca="1" si="2"/>
        <v>('ENT1613','Pengendalian Hayati Hama Tumbuhan','2','A351'),</v>
      </c>
    </row>
    <row r="67" spans="1:7" ht="12.5" x14ac:dyDescent="0.25">
      <c r="A67" s="9" t="str">
        <f ca="1">IFERROR(__xludf.DUMMYFUNCTION("""COMPUTED_VALUE"""),"PHT1534 - Pengendalian Terpadu Hama Gudang, Industri, dan Permukiman")</f>
        <v>PHT1534 - Pengendalian Terpadu Hama Gudang, Industri, dan Permukiman</v>
      </c>
      <c r="B67" s="44">
        <v>66</v>
      </c>
      <c r="C67" s="35" t="str">
        <f t="shared" ca="1" si="3"/>
        <v>PHT1534</v>
      </c>
      <c r="D67" s="35" t="str">
        <f t="shared" ca="1" si="4"/>
        <v>Pengendalian Terpadu Hama Gudang, Industri, dan Permukiman</v>
      </c>
      <c r="E67" s="44">
        <f ca="1">IFERROR(VLOOKUP(A67,Mentah!D:J,7,FALSE),"")</f>
        <v>2</v>
      </c>
      <c r="F67" s="44" t="str">
        <f ca="1">IFERROR(VLOOKUP(A67,Mentah!D:K,8,FALSE),"")</f>
        <v>A351</v>
      </c>
      <c r="G67" s="35" t="str">
        <f t="shared" ca="1" si="2"/>
        <v>('PHT1534','Pengendalian Terpadu Hama Gudang, Industri, dan Permukiman','2','A351'),</v>
      </c>
    </row>
    <row r="68" spans="1:7" ht="12.5" x14ac:dyDescent="0.25">
      <c r="A68" s="9" t="str">
        <f ca="1">IFERROR(__xludf.DUMMYFUNCTION("""COMPUTED_VALUE"""),"ENT1602 - Topik Khusus 1/ Capita Selecta")</f>
        <v>ENT1602 - Topik Khusus 1/ Capita Selecta</v>
      </c>
      <c r="B68" s="44">
        <v>67</v>
      </c>
      <c r="C68" s="35" t="str">
        <f t="shared" ca="1" si="3"/>
        <v>ENT1602</v>
      </c>
      <c r="D68" s="35" t="str">
        <f t="shared" ca="1" si="4"/>
        <v>Topik Khusus 1/ Capita Selecta</v>
      </c>
      <c r="E68" s="44">
        <f ca="1">IFERROR(VLOOKUP(A68,Mentah!D:J,7,FALSE),"")</f>
        <v>2</v>
      </c>
      <c r="F68" s="44" t="str">
        <f ca="1">IFERROR(VLOOKUP(A68,Mentah!D:K,8,FALSE),"")</f>
        <v>A351</v>
      </c>
      <c r="G68" s="35" t="str">
        <f t="shared" ca="1" si="2"/>
        <v>('ENT1602','Topik Khusus 1/ Capita Selecta','2','A351'),</v>
      </c>
    </row>
    <row r="69" spans="1:7" ht="12.5" x14ac:dyDescent="0.25">
      <c r="A69" s="9" t="str">
        <f ca="1">IFERROR(__xludf.DUMMYFUNCTION("""COMPUTED_VALUE"""),"PHT1503 - Biometrika Hama dan Penyakit Tumbuhan")</f>
        <v>PHT1503 - Biometrika Hama dan Penyakit Tumbuhan</v>
      </c>
      <c r="B69" s="44">
        <v>68</v>
      </c>
      <c r="C69" s="35" t="str">
        <f t="shared" ca="1" si="3"/>
        <v>PHT1503</v>
      </c>
      <c r="D69" s="35" t="str">
        <f t="shared" ca="1" si="4"/>
        <v>Biometrika Hama dan Penyakit Tumbuhan</v>
      </c>
      <c r="E69" s="44">
        <f ca="1">IFERROR(VLOOKUP(A69,Mentah!D:J,7,FALSE),"")</f>
        <v>2</v>
      </c>
      <c r="F69" s="44" t="str">
        <f ca="1">IFERROR(VLOOKUP(A69,Mentah!D:K,8,FALSE),"")</f>
        <v>A353</v>
      </c>
      <c r="G69" s="35" t="str">
        <f t="shared" ca="1" si="2"/>
        <v>('PHT1503','Biometrika Hama dan Penyakit Tumbuhan','2','A353'),</v>
      </c>
    </row>
    <row r="70" spans="1:7" ht="12.5" x14ac:dyDescent="0.25">
      <c r="A70" s="9" t="str">
        <f ca="1">IFERROR(__xludf.DUMMYFUNCTION("""COMPUTED_VALUE"""),"PHT1533 - Pengendalian Hayati Hama dan Penyakit Tumbuhan")</f>
        <v>PHT1533 - Pengendalian Hayati Hama dan Penyakit Tumbuhan</v>
      </c>
      <c r="B70" s="44">
        <v>69</v>
      </c>
      <c r="C70" s="35" t="str">
        <f t="shared" ca="1" si="3"/>
        <v>PHT1533</v>
      </c>
      <c r="D70" s="35" t="str">
        <f t="shared" ca="1" si="4"/>
        <v>Pengendalian Hayati Hama dan Penyakit Tumbuhan</v>
      </c>
      <c r="E70" s="44">
        <f ca="1">IFERROR(VLOOKUP(A70,Mentah!D:J,7,FALSE),"")</f>
        <v>2</v>
      </c>
      <c r="F70" s="44" t="str">
        <f ca="1">IFERROR(VLOOKUP(A70,Mentah!D:K,8,FALSE),"")</f>
        <v>A353</v>
      </c>
      <c r="G70" s="35" t="str">
        <f t="shared" ca="1" si="2"/>
        <v>('PHT1533','Pengendalian Hayati Hama dan Penyakit Tumbuhan','2','A353'),</v>
      </c>
    </row>
    <row r="71" spans="1:7" ht="12.5" x14ac:dyDescent="0.25">
      <c r="A71" s="9" t="str">
        <f ca="1">IFERROR(__xludf.DUMMYFUNCTION("""COMPUTED_VALUE"""),"PHT1535 - Ilmu Vertebrata Hama")</f>
        <v>PHT1535 - Ilmu Vertebrata Hama</v>
      </c>
      <c r="B71" s="44">
        <v>70</v>
      </c>
      <c r="C71" s="35" t="str">
        <f t="shared" ca="1" si="3"/>
        <v>PHT1535</v>
      </c>
      <c r="D71" s="35" t="str">
        <f t="shared" ca="1" si="4"/>
        <v>Ilmu Vertebrata Hama</v>
      </c>
      <c r="E71" s="44">
        <f ca="1">IFERROR(VLOOKUP(A71,Mentah!D:J,7,FALSE),"")</f>
        <v>2</v>
      </c>
      <c r="F71" s="44" t="str">
        <f ca="1">IFERROR(VLOOKUP(A71,Mentah!D:K,8,FALSE),"")</f>
        <v>A353</v>
      </c>
      <c r="G71" s="35" t="str">
        <f t="shared" ca="1" si="2"/>
        <v>('PHT1535','Ilmu Vertebrata Hama','2','A353'),</v>
      </c>
    </row>
    <row r="72" spans="1:7" ht="12.5" x14ac:dyDescent="0.25">
      <c r="A72" s="9" t="str">
        <f ca="1">IFERROR(__xludf.DUMMYFUNCTION("""COMPUTED_VALUE"""),"PHT1651 - Aplikasi Biomolekuler dalam Entomologi dan Fitopatologi")</f>
        <v>PHT1651 - Aplikasi Biomolekuler dalam Entomologi dan Fitopatologi</v>
      </c>
      <c r="B72" s="44">
        <v>71</v>
      </c>
      <c r="C72" s="35" t="str">
        <f t="shared" ca="1" si="3"/>
        <v>PHT1651</v>
      </c>
      <c r="D72" s="35" t="str">
        <f t="shared" ca="1" si="4"/>
        <v>Aplikasi Biomolekuler dalam Entomologi dan Fitopatologi</v>
      </c>
      <c r="E72" s="44">
        <f ca="1">IFERROR(VLOOKUP(A72,Mentah!D:J,7,FALSE),"")</f>
        <v>2</v>
      </c>
      <c r="F72" s="44" t="str">
        <f ca="1">IFERROR(VLOOKUP(A72,Mentah!D:K,8,FALSE),"")</f>
        <v>A353</v>
      </c>
      <c r="G72" s="35" t="str">
        <f t="shared" ca="1" si="2"/>
        <v>('PHT1651','Aplikasi Biomolekuler dalam Entomologi dan Fitopatologi','2','A353'),</v>
      </c>
    </row>
    <row r="73" spans="1:7" ht="12.5" x14ac:dyDescent="0.25">
      <c r="A73" s="9" t="str">
        <f ca="1">IFERROR(__xludf.DUMMYFUNCTION("""COMPUTED_VALUE"""),"PHT1521 - Ilmu Penyakit Tumbuhan")</f>
        <v>PHT1521 - Ilmu Penyakit Tumbuhan</v>
      </c>
      <c r="B73" s="44">
        <v>72</v>
      </c>
      <c r="C73" s="35" t="str">
        <f t="shared" ca="1" si="3"/>
        <v>PHT1521</v>
      </c>
      <c r="D73" s="35" t="str">
        <f t="shared" ca="1" si="4"/>
        <v>Ilmu Penyakit Tumbuhan</v>
      </c>
      <c r="E73" s="44">
        <f ca="1">IFERROR(VLOOKUP(A73,Mentah!D:J,7,FALSE),"")</f>
        <v>2</v>
      </c>
      <c r="F73" s="44" t="str">
        <f ca="1">IFERROR(VLOOKUP(A73,Mentah!D:K,8,FALSE),"")</f>
        <v>A353</v>
      </c>
      <c r="G73" s="35" t="str">
        <f t="shared" ca="1" si="2"/>
        <v>('PHT1521','Ilmu Penyakit Tumbuhan','2','A353'),</v>
      </c>
    </row>
    <row r="74" spans="1:7" ht="12.5" x14ac:dyDescent="0.25">
      <c r="A74" s="9" t="str">
        <f ca="1">IFERROR(__xludf.DUMMYFUNCTION("""COMPUTED_VALUE"""),"PHT1531 - Ilmu Hama Tumbuhan")</f>
        <v>PHT1531 - Ilmu Hama Tumbuhan</v>
      </c>
      <c r="B74" s="44">
        <v>73</v>
      </c>
      <c r="C74" s="35" t="str">
        <f t="shared" ca="1" si="3"/>
        <v>PHT1531</v>
      </c>
      <c r="D74" s="35" t="str">
        <f t="shared" ca="1" si="4"/>
        <v>Ilmu Hama Tumbuhan</v>
      </c>
      <c r="E74" s="44">
        <f ca="1">IFERROR(VLOOKUP(A74,Mentah!D:J,7,FALSE),"")</f>
        <v>2</v>
      </c>
      <c r="F74" s="44" t="str">
        <f ca="1">IFERROR(VLOOKUP(A74,Mentah!D:K,8,FALSE),"")</f>
        <v>A353</v>
      </c>
      <c r="G74" s="35" t="str">
        <f t="shared" ca="1" si="2"/>
        <v>('PHT1531','Ilmu Hama Tumbuhan','2','A353'),</v>
      </c>
    </row>
    <row r="75" spans="1:7" ht="12.5" x14ac:dyDescent="0.25">
      <c r="A75" s="9" t="str">
        <f ca="1">IFERROR(__xludf.DUMMYFUNCTION("""COMPUTED_VALUE"""),"ARL1636 - Kajian dan Pelestarian Lanskap Budaya")</f>
        <v>ARL1636 - Kajian dan Pelestarian Lanskap Budaya</v>
      </c>
      <c r="B75" s="44">
        <v>74</v>
      </c>
      <c r="C75" s="35" t="str">
        <f t="shared" ca="1" si="3"/>
        <v>ARL1636</v>
      </c>
      <c r="D75" s="35" t="str">
        <f t="shared" ca="1" si="4"/>
        <v>Kajian dan Pelestarian Lanskap Budaya</v>
      </c>
      <c r="E75" s="44">
        <f ca="1">IFERROR(VLOOKUP(A75,Mentah!D:J,7,FALSE),"")</f>
        <v>2</v>
      </c>
      <c r="F75" s="44" t="str">
        <f ca="1">IFERROR(VLOOKUP(A75,Mentah!D:K,8,FALSE),"")</f>
        <v>A451</v>
      </c>
      <c r="G75" s="35" t="str">
        <f t="shared" ca="1" si="2"/>
        <v>('ARL1636','Kajian dan Pelestarian Lanskap Budaya','2','A451'),</v>
      </c>
    </row>
    <row r="76" spans="1:7" ht="12.5" x14ac:dyDescent="0.25">
      <c r="A76" s="9" t="str">
        <f ca="1">IFERROR(__xludf.DUMMYFUNCTION("""COMPUTED_VALUE"""),"ARL1501 - Metodologi Penelitian Arsitektur Lanskap Lanjut")</f>
        <v>ARL1501 - Metodologi Penelitian Arsitektur Lanskap Lanjut</v>
      </c>
      <c r="B76" s="44">
        <v>75</v>
      </c>
      <c r="C76" s="35" t="str">
        <f t="shared" ca="1" si="3"/>
        <v>ARL1501</v>
      </c>
      <c r="D76" s="35" t="str">
        <f t="shared" ca="1" si="4"/>
        <v>Metodologi Penelitian Arsitektur Lanskap Lanjut</v>
      </c>
      <c r="E76" s="44">
        <f ca="1">IFERROR(VLOOKUP(A76,Mentah!D:J,7,FALSE),"")</f>
        <v>2</v>
      </c>
      <c r="F76" s="44" t="str">
        <f ca="1">IFERROR(VLOOKUP(A76,Mentah!D:K,8,FALSE),"")</f>
        <v>A451</v>
      </c>
      <c r="G76" s="35" t="str">
        <f t="shared" ca="1" si="2"/>
        <v>('ARL1501','Metodologi Penelitian Arsitektur Lanskap Lanjut','2','A451'),</v>
      </c>
    </row>
    <row r="77" spans="1:7" ht="12.5" x14ac:dyDescent="0.25">
      <c r="A77" s="9" t="str">
        <f ca="1">IFERROR(__xludf.DUMMYFUNCTION("""COMPUTED_VALUE"""),"ARL1513 - Desain Lanskap Lanjut")</f>
        <v>ARL1513 - Desain Lanskap Lanjut</v>
      </c>
      <c r="B77" s="44">
        <v>76</v>
      </c>
      <c r="C77" s="35" t="str">
        <f t="shared" ca="1" si="3"/>
        <v>ARL1513</v>
      </c>
      <c r="D77" s="35" t="str">
        <f t="shared" ca="1" si="4"/>
        <v>Desain Lanskap Lanjut</v>
      </c>
      <c r="E77" s="44">
        <f ca="1">IFERROR(VLOOKUP(A77,Mentah!D:J,7,FALSE),"")</f>
        <v>2</v>
      </c>
      <c r="F77" s="44" t="str">
        <f ca="1">IFERROR(VLOOKUP(A77,Mentah!D:K,8,FALSE),"")</f>
        <v>A451</v>
      </c>
      <c r="G77" s="35" t="str">
        <f t="shared" ca="1" si="2"/>
        <v>('ARL1513','Desain Lanskap Lanjut','2','A451'),</v>
      </c>
    </row>
    <row r="78" spans="1:7" ht="12.5" x14ac:dyDescent="0.25">
      <c r="A78" s="9" t="str">
        <f ca="1">IFERROR(__xludf.DUMMYFUNCTION("""COMPUTED_VALUE"""),"ARL1603 - Analisis dan Pemodelan Lanskap")</f>
        <v>ARL1603 - Analisis dan Pemodelan Lanskap</v>
      </c>
      <c r="B78" s="44">
        <v>77</v>
      </c>
      <c r="C78" s="35" t="str">
        <f t="shared" ca="1" si="3"/>
        <v>ARL1603</v>
      </c>
      <c r="D78" s="35" t="str">
        <f t="shared" ca="1" si="4"/>
        <v>Analisis dan Pemodelan Lanskap</v>
      </c>
      <c r="E78" s="44">
        <f ca="1">IFERROR(VLOOKUP(A78,Mentah!D:J,7,FALSE),"")</f>
        <v>2</v>
      </c>
      <c r="F78" s="44" t="str">
        <f ca="1">IFERROR(VLOOKUP(A78,Mentah!D:K,8,FALSE),"")</f>
        <v>A451</v>
      </c>
      <c r="G78" s="35" t="str">
        <f t="shared" ca="1" si="2"/>
        <v>('ARL1603','Analisis dan Pemodelan Lanskap','2','A451'),</v>
      </c>
    </row>
    <row r="79" spans="1:7" ht="12.5" x14ac:dyDescent="0.25">
      <c r="A79" s="9" t="str">
        <f ca="1">IFERROR(__xludf.DUMMYFUNCTION("""COMPUTED_VALUE"""),"ARL1626 - Ruang Terbuka Hijau Tematik")</f>
        <v>ARL1626 - Ruang Terbuka Hijau Tematik</v>
      </c>
      <c r="B79" s="44">
        <v>78</v>
      </c>
      <c r="C79" s="35" t="str">
        <f t="shared" ca="1" si="3"/>
        <v>ARL1626</v>
      </c>
      <c r="D79" s="35" t="str">
        <f t="shared" ca="1" si="4"/>
        <v>Ruang Terbuka Hijau Tematik</v>
      </c>
      <c r="E79" s="44">
        <f ca="1">IFERROR(VLOOKUP(A79,Mentah!D:J,7,FALSE),"")</f>
        <v>2</v>
      </c>
      <c r="F79" s="44" t="str">
        <f ca="1">IFERROR(VLOOKUP(A79,Mentah!D:K,8,FALSE),"")</f>
        <v>A451</v>
      </c>
      <c r="G79" s="35" t="str">
        <f t="shared" ca="1" si="2"/>
        <v>('ARL1626','Ruang Terbuka Hijau Tematik','2','A451'),</v>
      </c>
    </row>
    <row r="80" spans="1:7" ht="12.5" x14ac:dyDescent="0.25">
      <c r="A80" s="9" t="str">
        <f ca="1">IFERROR(__xludf.DUMMYFUNCTION("""COMPUTED_VALUE"""),"ARL1611 - Perencanaan Lanskap Kawasan Wisata")</f>
        <v>ARL1611 - Perencanaan Lanskap Kawasan Wisata</v>
      </c>
      <c r="B80" s="44">
        <v>79</v>
      </c>
      <c r="C80" s="35" t="str">
        <f t="shared" ca="1" si="3"/>
        <v>ARL1611</v>
      </c>
      <c r="D80" s="35" t="str">
        <f t="shared" ca="1" si="4"/>
        <v>Perencanaan Lanskap Kawasan Wisata</v>
      </c>
      <c r="E80" s="44">
        <f ca="1">IFERROR(VLOOKUP(A80,Mentah!D:J,7,FALSE),"")</f>
        <v>2</v>
      </c>
      <c r="F80" s="44" t="str">
        <f ca="1">IFERROR(VLOOKUP(A80,Mentah!D:K,8,FALSE),"")</f>
        <v>A451</v>
      </c>
      <c r="G80" s="35" t="str">
        <f t="shared" ca="1" si="2"/>
        <v>('ARL1611','Perencanaan Lanskap Kawasan Wisata','2','A451'),</v>
      </c>
    </row>
    <row r="81" spans="1:7" ht="12.5" x14ac:dyDescent="0.25">
      <c r="A81" s="9" t="str">
        <f ca="1">IFERROR(__xludf.DUMMYFUNCTION("""COMPUTED_VALUE"""),"ARL1633 - Ekologi Lanskap")</f>
        <v>ARL1633 - Ekologi Lanskap</v>
      </c>
      <c r="B81" s="44">
        <v>80</v>
      </c>
      <c r="C81" s="35" t="str">
        <f t="shared" ca="1" si="3"/>
        <v>ARL1633</v>
      </c>
      <c r="D81" s="35" t="str">
        <f t="shared" ca="1" si="4"/>
        <v>Ekologi Lanskap</v>
      </c>
      <c r="E81" s="44">
        <f ca="1">IFERROR(VLOOKUP(A81,Mentah!D:J,7,FALSE),"")</f>
        <v>2</v>
      </c>
      <c r="F81" s="44" t="str">
        <f ca="1">IFERROR(VLOOKUP(A81,Mentah!D:K,8,FALSE),"")</f>
        <v>A451</v>
      </c>
      <c r="G81" s="35" t="str">
        <f t="shared" ca="1" si="2"/>
        <v>('ARL1633','Ekologi Lanskap','2','A451'),</v>
      </c>
    </row>
    <row r="82" spans="1:7" ht="12.5" x14ac:dyDescent="0.25">
      <c r="A82" s="9" t="str">
        <f ca="1">IFERROR(__xludf.DUMMYFUNCTION("""COMPUTED_VALUE"""),"ARL1602 - Proyek Studio Arsitektur Lanskap Berkelanjutan")</f>
        <v>ARL1602 - Proyek Studio Arsitektur Lanskap Berkelanjutan</v>
      </c>
      <c r="B82" s="44">
        <v>81</v>
      </c>
      <c r="C82" s="35" t="str">
        <f t="shared" ca="1" si="3"/>
        <v>ARL1602</v>
      </c>
      <c r="D82" s="35" t="str">
        <f t="shared" ca="1" si="4"/>
        <v>Proyek Studio Arsitektur Lanskap Berkelanjutan</v>
      </c>
      <c r="E82" s="44">
        <f ca="1">IFERROR(VLOOKUP(A82,Mentah!D:J,7,FALSE),"")</f>
        <v>2</v>
      </c>
      <c r="F82" s="44" t="str">
        <f ca="1">IFERROR(VLOOKUP(A82,Mentah!D:K,8,FALSE),"")</f>
        <v>A451</v>
      </c>
      <c r="G82" s="35" t="str">
        <f t="shared" ca="1" si="2"/>
        <v>('ARL1602','Proyek Studio Arsitektur Lanskap Berkelanjutan','2','A451'),</v>
      </c>
    </row>
    <row r="83" spans="1:7" ht="12.5" x14ac:dyDescent="0.25">
      <c r="A83" s="9" t="str">
        <f ca="1">IFERROR(__xludf.DUMMYFUNCTION("""COMPUTED_VALUE"""),"ARL1635 - Lanskap Perdesaan dan Pertanian")</f>
        <v>ARL1635 - Lanskap Perdesaan dan Pertanian</v>
      </c>
      <c r="B83" s="44">
        <v>82</v>
      </c>
      <c r="C83" s="35" t="str">
        <f t="shared" ca="1" si="3"/>
        <v>ARL1635</v>
      </c>
      <c r="D83" s="35" t="str">
        <f t="shared" ca="1" si="4"/>
        <v>Lanskap Perdesaan dan Pertanian</v>
      </c>
      <c r="E83" s="44">
        <f ca="1">IFERROR(VLOOKUP(A83,Mentah!D:J,7,FALSE),"")</f>
        <v>2</v>
      </c>
      <c r="F83" s="44" t="str">
        <f ca="1">IFERROR(VLOOKUP(A83,Mentah!D:K,8,FALSE),"")</f>
        <v>A451</v>
      </c>
      <c r="G83" s="35" t="str">
        <f t="shared" ca="1" si="2"/>
        <v>('ARL1635','Lanskap Perdesaan dan Pertanian','2','A451'),</v>
      </c>
    </row>
    <row r="84" spans="1:7" ht="12.5" x14ac:dyDescent="0.25">
      <c r="A84" s="9" t="str">
        <f ca="1">IFERROR(__xludf.DUMMYFUNCTION("""COMPUTED_VALUE"""),"ARL1625 - Pohon Lanskap Perkotaan")</f>
        <v>ARL1625 - Pohon Lanskap Perkotaan</v>
      </c>
      <c r="B84" s="44">
        <v>83</v>
      </c>
      <c r="C84" s="35" t="str">
        <f t="shared" ca="1" si="3"/>
        <v>ARL1625</v>
      </c>
      <c r="D84" s="35" t="str">
        <f t="shared" ca="1" si="4"/>
        <v>Pohon Lanskap Perkotaan</v>
      </c>
      <c r="E84" s="44">
        <f ca="1">IFERROR(VLOOKUP(A84,Mentah!D:J,7,FALSE),"")</f>
        <v>2</v>
      </c>
      <c r="F84" s="44" t="str">
        <f ca="1">IFERROR(VLOOKUP(A84,Mentah!D:K,8,FALSE),"")</f>
        <v>A451</v>
      </c>
      <c r="G84" s="35" t="str">
        <f t="shared" ca="1" si="2"/>
        <v>('ARL1625','Pohon Lanskap Perkotaan','2','A451'),</v>
      </c>
    </row>
    <row r="85" spans="1:7" ht="12.5" x14ac:dyDescent="0.25">
      <c r="A85" s="9" t="str">
        <f ca="1">IFERROR(__xludf.DUMMYFUNCTION("""COMPUTED_VALUE"""),"SVB156A - Radiologi Veteriner Lanjut")</f>
        <v>SVB156A - Radiologi Veteriner Lanjut</v>
      </c>
      <c r="B85" s="44">
        <v>84</v>
      </c>
      <c r="C85" s="35" t="str">
        <f t="shared" ca="1" si="3"/>
        <v>SVB156A</v>
      </c>
      <c r="D85" s="35" t="str">
        <f t="shared" ca="1" si="4"/>
        <v>Radiologi Veteriner Lanjut</v>
      </c>
      <c r="E85" s="44">
        <f ca="1">IFERROR(VLOOKUP(A85,Mentah!D:J,7,FALSE),"")</f>
        <v>2</v>
      </c>
      <c r="F85" s="44" t="str">
        <f ca="1">IFERROR(VLOOKUP(A85,Mentah!D:K,8,FALSE),"")</f>
        <v>B351</v>
      </c>
      <c r="G85" s="35" t="str">
        <f t="shared" ca="1" si="2"/>
        <v>('SVB156A','Radiologi Veteriner Lanjut','2','B351'),</v>
      </c>
    </row>
    <row r="86" spans="1:7" ht="12.5" x14ac:dyDescent="0.25">
      <c r="A86" s="9" t="str">
        <f ca="1">IFERROR(__xludf.DUMMYFUNCTION("""COMPUTED_VALUE"""),"SVB1533 - Epidemiologi")</f>
        <v>SVB1533 - Epidemiologi</v>
      </c>
      <c r="B86" s="44">
        <v>85</v>
      </c>
      <c r="C86" s="35" t="str">
        <f t="shared" ca="1" si="3"/>
        <v>SVB1533</v>
      </c>
      <c r="D86" s="35" t="str">
        <f t="shared" ca="1" si="4"/>
        <v>Epidemiologi</v>
      </c>
      <c r="E86" s="44">
        <f ca="1">IFERROR(VLOOKUP(A86,Mentah!D:J,7,FALSE),"")</f>
        <v>2</v>
      </c>
      <c r="F86" s="44" t="str">
        <f ca="1">IFERROR(VLOOKUP(A86,Mentah!D:K,8,FALSE),"")</f>
        <v>B351</v>
      </c>
      <c r="G86" s="35" t="str">
        <f t="shared" ca="1" si="2"/>
        <v>('SVB1533','Epidemiologi','2','B351'),</v>
      </c>
    </row>
    <row r="87" spans="1:7" ht="12.5" x14ac:dyDescent="0.25">
      <c r="A87" s="9" t="str">
        <f ca="1">IFERROR(__xludf.DUMMYFUNCTION("""COMPUTED_VALUE"""),"SVB1505 - Topik Khusus Peminatan II")</f>
        <v>SVB1505 - Topik Khusus Peminatan II</v>
      </c>
      <c r="B87" s="44">
        <v>86</v>
      </c>
      <c r="C87" s="35" t="str">
        <f t="shared" ca="1" si="3"/>
        <v>SVB1505</v>
      </c>
      <c r="D87" s="35" t="str">
        <f t="shared" ca="1" si="4"/>
        <v>Topik Khusus Peminatan II</v>
      </c>
      <c r="E87" s="44">
        <f ca="1">IFERROR(VLOOKUP(A87,Mentah!D:J,7,FALSE),"")</f>
        <v>2</v>
      </c>
      <c r="F87" s="44" t="str">
        <f ca="1">IFERROR(VLOOKUP(A87,Mentah!D:K,8,FALSE),"")</f>
        <v>B351</v>
      </c>
      <c r="G87" s="35" t="str">
        <f t="shared" ca="1" si="2"/>
        <v>('SVB1505','Topik Khusus Peminatan II','2','B351'),</v>
      </c>
    </row>
    <row r="88" spans="1:7" ht="12.5" x14ac:dyDescent="0.25">
      <c r="A88" s="9" t="str">
        <f ca="1">IFERROR(__xludf.DUMMYFUNCTION("""COMPUTED_VALUE"""),"SVB154A - Penyakit infeksius baru dan berulang")</f>
        <v>SVB154A - Penyakit infeksius baru dan berulang</v>
      </c>
      <c r="B88" s="44">
        <v>87</v>
      </c>
      <c r="C88" s="35" t="str">
        <f t="shared" ca="1" si="3"/>
        <v>SVB154A</v>
      </c>
      <c r="D88" s="35" t="str">
        <f t="shared" ca="1" si="4"/>
        <v>Penyakit infeksius baru dan berulang</v>
      </c>
      <c r="E88" s="44">
        <f ca="1">IFERROR(VLOOKUP(A88,Mentah!D:J,7,FALSE),"")</f>
        <v>2</v>
      </c>
      <c r="F88" s="44" t="str">
        <f ca="1">IFERROR(VLOOKUP(A88,Mentah!D:K,8,FALSE),"")</f>
        <v>B351</v>
      </c>
      <c r="G88" s="35" t="str">
        <f t="shared" ca="1" si="2"/>
        <v>('SVB154A','Penyakit infeksius baru dan berulang','2','B351'),</v>
      </c>
    </row>
    <row r="89" spans="1:7" ht="12.5" x14ac:dyDescent="0.25">
      <c r="A89" s="9" t="str">
        <f ca="1">IFERROR(__xludf.DUMMYFUNCTION("""COMPUTED_VALUE"""),"SVB1553 - Sitologi Reproduksi")</f>
        <v>SVB1553 - Sitologi Reproduksi</v>
      </c>
      <c r="B89" s="44">
        <v>88</v>
      </c>
      <c r="C89" s="35" t="str">
        <f t="shared" ca="1" si="3"/>
        <v>SVB1553</v>
      </c>
      <c r="D89" s="35" t="str">
        <f t="shared" ca="1" si="4"/>
        <v>Sitologi Reproduksi</v>
      </c>
      <c r="E89" s="44">
        <f ca="1">IFERROR(VLOOKUP(A89,Mentah!D:J,7,FALSE),"")</f>
        <v>2</v>
      </c>
      <c r="F89" s="44" t="str">
        <f ca="1">IFERROR(VLOOKUP(A89,Mentah!D:K,8,FALSE),"")</f>
        <v>B351</v>
      </c>
      <c r="G89" s="35" t="str">
        <f t="shared" ca="1" si="2"/>
        <v>('SVB1553','Sitologi Reproduksi','2','B351'),</v>
      </c>
    </row>
    <row r="90" spans="1:7" ht="12.5" x14ac:dyDescent="0.25">
      <c r="A90" s="9" t="str">
        <f ca="1">IFERROR(__xludf.DUMMYFUNCTION("""COMPUTED_VALUE"""),"SVB1551 - Fisiologi dan Endokrinologi Reproduksi")</f>
        <v>SVB1551 - Fisiologi dan Endokrinologi Reproduksi</v>
      </c>
      <c r="B90" s="44">
        <v>89</v>
      </c>
      <c r="C90" s="35" t="str">
        <f t="shared" ca="1" si="3"/>
        <v>SVB1551</v>
      </c>
      <c r="D90" s="35" t="str">
        <f t="shared" ca="1" si="4"/>
        <v>Fisiologi dan Endokrinologi Reproduksi</v>
      </c>
      <c r="E90" s="44">
        <f ca="1">IFERROR(VLOOKUP(A90,Mentah!D:J,7,FALSE),"")</f>
        <v>2</v>
      </c>
      <c r="F90" s="44" t="str">
        <f ca="1">IFERROR(VLOOKUP(A90,Mentah!D:K,8,FALSE),"")</f>
        <v>B351</v>
      </c>
      <c r="G90" s="35" t="str">
        <f t="shared" ca="1" si="2"/>
        <v>('SVB1551','Fisiologi dan Endokrinologi Reproduksi','2','B351'),</v>
      </c>
    </row>
    <row r="91" spans="1:7" ht="12.5" x14ac:dyDescent="0.25">
      <c r="A91" s="9" t="str">
        <f ca="1">IFERROR(__xludf.DUMMYFUNCTION("""COMPUTED_VALUE"""),"SVB1569 - Anestesi Veteriner Lanjut")</f>
        <v>SVB1569 - Anestesi Veteriner Lanjut</v>
      </c>
      <c r="B91" s="44">
        <v>90</v>
      </c>
      <c r="C91" s="35" t="str">
        <f t="shared" ca="1" si="3"/>
        <v>SVB1569</v>
      </c>
      <c r="D91" s="35" t="str">
        <f t="shared" ca="1" si="4"/>
        <v>Anestesi Veteriner Lanjut</v>
      </c>
      <c r="E91" s="44">
        <f ca="1">IFERROR(VLOOKUP(A91,Mentah!D:J,7,FALSE),"")</f>
        <v>2</v>
      </c>
      <c r="F91" s="44" t="str">
        <f ca="1">IFERROR(VLOOKUP(A91,Mentah!D:K,8,FALSE),"")</f>
        <v>B351</v>
      </c>
      <c r="G91" s="35" t="str">
        <f t="shared" ca="1" si="2"/>
        <v>('SVB1569','Anestesi Veteriner Lanjut','2','B351'),</v>
      </c>
    </row>
    <row r="92" spans="1:7" ht="12.5" x14ac:dyDescent="0.25">
      <c r="A92" s="9" t="str">
        <f ca="1">IFERROR(__xludf.DUMMYFUNCTION("""COMPUTED_VALUE"""),"SVB1564 - Interaksi Obat dalam Farmasi Veteriner")</f>
        <v>SVB1564 - Interaksi Obat dalam Farmasi Veteriner</v>
      </c>
      <c r="B92" s="44">
        <v>91</v>
      </c>
      <c r="C92" s="35" t="str">
        <f t="shared" ca="1" si="3"/>
        <v>SVB1564</v>
      </c>
      <c r="D92" s="35" t="str">
        <f t="shared" ca="1" si="4"/>
        <v>Interaksi Obat dalam Farmasi Veteriner</v>
      </c>
      <c r="E92" s="44">
        <f ca="1">IFERROR(VLOOKUP(A92,Mentah!D:J,7,FALSE),"")</f>
        <v>2</v>
      </c>
      <c r="F92" s="44" t="str">
        <f ca="1">IFERROR(VLOOKUP(A92,Mentah!D:K,8,FALSE),"")</f>
        <v>B351</v>
      </c>
      <c r="G92" s="35" t="str">
        <f t="shared" ca="1" si="2"/>
        <v>('SVB1564','Interaksi Obat dalam Farmasi Veteriner','2','B351'),</v>
      </c>
    </row>
    <row r="93" spans="1:7" ht="12.5" x14ac:dyDescent="0.25">
      <c r="A93" s="9" t="str">
        <f ca="1">IFERROR(__xludf.DUMMYFUNCTION("""COMPUTED_VALUE"""),"SVB1543 - Imunologi Seluler dan Molekuler")</f>
        <v>SVB1543 - Imunologi Seluler dan Molekuler</v>
      </c>
      <c r="B93" s="44">
        <v>92</v>
      </c>
      <c r="C93" s="35" t="str">
        <f t="shared" ca="1" si="3"/>
        <v>SVB1543</v>
      </c>
      <c r="D93" s="35" t="str">
        <f t="shared" ca="1" si="4"/>
        <v>Imunologi Seluler dan Molekuler</v>
      </c>
      <c r="E93" s="44">
        <f ca="1">IFERROR(VLOOKUP(A93,Mentah!D:J,7,FALSE),"")</f>
        <v>2</v>
      </c>
      <c r="F93" s="44" t="str">
        <f ca="1">IFERROR(VLOOKUP(A93,Mentah!D:K,8,FALSE),"")</f>
        <v>B351</v>
      </c>
      <c r="G93" s="35" t="str">
        <f t="shared" ca="1" si="2"/>
        <v>('SVB1543','Imunologi Seluler dan Molekuler','2','B351'),</v>
      </c>
    </row>
    <row r="94" spans="1:7" ht="12.5" x14ac:dyDescent="0.25">
      <c r="A94" s="9" t="str">
        <f ca="1">IFERROR(__xludf.DUMMYFUNCTION("""COMPUTED_VALUE"""),"SVB1522 - Teknik Parasitologi")</f>
        <v>SVB1522 - Teknik Parasitologi</v>
      </c>
      <c r="B94" s="44">
        <v>93</v>
      </c>
      <c r="C94" s="35" t="str">
        <f t="shared" ca="1" si="3"/>
        <v>SVB1522</v>
      </c>
      <c r="D94" s="35" t="str">
        <f t="shared" ca="1" si="4"/>
        <v>Teknik Parasitologi</v>
      </c>
      <c r="E94" s="44">
        <f ca="1">IFERROR(VLOOKUP(A94,Mentah!D:J,7,FALSE),"")</f>
        <v>2</v>
      </c>
      <c r="F94" s="44" t="str">
        <f ca="1">IFERROR(VLOOKUP(A94,Mentah!D:K,8,FALSE),"")</f>
        <v>B351</v>
      </c>
      <c r="G94" s="35" t="str">
        <f t="shared" ca="1" si="2"/>
        <v>('SVB1522','Teknik Parasitologi','2','B351'),</v>
      </c>
    </row>
    <row r="95" spans="1:7" ht="12.5" x14ac:dyDescent="0.25">
      <c r="A95" s="9" t="str">
        <f ca="1">IFERROR(__xludf.DUMMYFUNCTION("""COMPUTED_VALUE"""),"SVB1565 - Penyakit Dalam Khusus")</f>
        <v>SVB1565 - Penyakit Dalam Khusus</v>
      </c>
      <c r="B95" s="44">
        <v>94</v>
      </c>
      <c r="C95" s="35" t="str">
        <f t="shared" ca="1" si="3"/>
        <v>SVB1565</v>
      </c>
      <c r="D95" s="35" t="str">
        <f t="shared" ca="1" si="4"/>
        <v>Penyakit Dalam Khusus</v>
      </c>
      <c r="E95" s="44">
        <f ca="1">IFERROR(VLOOKUP(A95,Mentah!D:J,7,FALSE),"")</f>
        <v>2</v>
      </c>
      <c r="F95" s="44" t="str">
        <f ca="1">IFERROR(VLOOKUP(A95,Mentah!D:K,8,FALSE),"")</f>
        <v>B351</v>
      </c>
      <c r="G95" s="35" t="str">
        <f t="shared" ca="1" si="2"/>
        <v>('SVB1565','Penyakit Dalam Khusus','2','B351'),</v>
      </c>
    </row>
    <row r="96" spans="1:7" ht="12.5" x14ac:dyDescent="0.25">
      <c r="A96" s="9" t="str">
        <f ca="1">IFERROR(__xludf.DUMMYFUNCTION("""COMPUTED_VALUE"""),"SVB1627 - Imunoparasitologi Parasit")</f>
        <v>SVB1627 - Imunoparasitologi Parasit</v>
      </c>
      <c r="B96" s="44">
        <v>95</v>
      </c>
      <c r="C96" s="35" t="str">
        <f t="shared" ca="1" si="3"/>
        <v>SVB1627</v>
      </c>
      <c r="D96" s="35" t="str">
        <f t="shared" ca="1" si="4"/>
        <v>Imunoparasitologi Parasit</v>
      </c>
      <c r="E96" s="44">
        <f ca="1">IFERROR(VLOOKUP(A96,Mentah!D:J,7,FALSE),"")</f>
        <v>2</v>
      </c>
      <c r="F96" s="44" t="str">
        <f ca="1">IFERROR(VLOOKUP(A96,Mentah!D:K,8,FALSE),"")</f>
        <v>B351</v>
      </c>
      <c r="G96" s="35" t="str">
        <f t="shared" ca="1" si="2"/>
        <v>('SVB1627','Imunoparasitologi Parasit','2','B351'),</v>
      </c>
    </row>
    <row r="97" spans="1:7" ht="12.5" x14ac:dyDescent="0.25">
      <c r="A97" s="9" t="str">
        <f ca="1">IFERROR(__xludf.DUMMYFUNCTION("""COMPUTED_VALUE"""),"SVB1556 - Inseminasi Buatan")</f>
        <v>SVB1556 - Inseminasi Buatan</v>
      </c>
      <c r="B97" s="44">
        <v>96</v>
      </c>
      <c r="C97" s="35" t="str">
        <f t="shared" ca="1" si="3"/>
        <v>SVB1556</v>
      </c>
      <c r="D97" s="35" t="str">
        <f t="shared" ca="1" si="4"/>
        <v>Inseminasi Buatan</v>
      </c>
      <c r="E97" s="44">
        <f ca="1">IFERROR(VLOOKUP(A97,Mentah!D:J,7,FALSE),"")</f>
        <v>2</v>
      </c>
      <c r="F97" s="44" t="str">
        <f ca="1">IFERROR(VLOOKUP(A97,Mentah!D:K,8,FALSE),"")</f>
        <v>B351</v>
      </c>
      <c r="G97" s="35" t="str">
        <f t="shared" ca="1" si="2"/>
        <v>('SVB1556','Inseminasi Buatan','2','B351'),</v>
      </c>
    </row>
    <row r="98" spans="1:7" ht="12.5" x14ac:dyDescent="0.25">
      <c r="A98" s="9" t="str">
        <f ca="1">IFERROR(__xludf.DUMMYFUNCTION("""COMPUTED_VALUE"""),"SVB156D - Kultur Jaringan dan Analisa Genetika")</f>
        <v>SVB156D - Kultur Jaringan dan Analisa Genetika</v>
      </c>
      <c r="B98" s="44">
        <v>97</v>
      </c>
      <c r="C98" s="35" t="str">
        <f t="shared" ca="1" si="3"/>
        <v>SVB156D</v>
      </c>
      <c r="D98" s="35" t="str">
        <f t="shared" ca="1" si="4"/>
        <v>Kultur Jaringan dan Analisa Genetika</v>
      </c>
      <c r="E98" s="44">
        <f ca="1">IFERROR(VLOOKUP(A98,Mentah!D:J,7,FALSE),"")</f>
        <v>2</v>
      </c>
      <c r="F98" s="44" t="str">
        <f ca="1">IFERROR(VLOOKUP(A98,Mentah!D:K,8,FALSE),"")</f>
        <v>B351</v>
      </c>
      <c r="G98" s="35" t="str">
        <f t="shared" ca="1" si="2"/>
        <v>('SVB156D','Kultur Jaringan dan Analisa Genetika','2','B351'),</v>
      </c>
    </row>
    <row r="99" spans="1:7" ht="12.5" x14ac:dyDescent="0.25">
      <c r="A99" s="9" t="str">
        <f ca="1">IFERROR(__xludf.DUMMYFUNCTION("""COMPUTED_VALUE"""),"SVB1513 - Fisiologi Komparatif")</f>
        <v>SVB1513 - Fisiologi Komparatif</v>
      </c>
      <c r="B99" s="44">
        <v>98</v>
      </c>
      <c r="C99" s="35" t="str">
        <f t="shared" ca="1" si="3"/>
        <v>SVB1513</v>
      </c>
      <c r="D99" s="35" t="str">
        <f t="shared" ca="1" si="4"/>
        <v>Fisiologi Komparatif</v>
      </c>
      <c r="E99" s="44">
        <f ca="1">IFERROR(VLOOKUP(A99,Mentah!D:J,7,FALSE),"")</f>
        <v>2</v>
      </c>
      <c r="F99" s="44" t="str">
        <f ca="1">IFERROR(VLOOKUP(A99,Mentah!D:K,8,FALSE),"")</f>
        <v>B351</v>
      </c>
      <c r="G99" s="35" t="str">
        <f t="shared" ca="1" si="2"/>
        <v>('SVB1513','Fisiologi Komparatif','2','B351'),</v>
      </c>
    </row>
    <row r="100" spans="1:7" ht="12.5" x14ac:dyDescent="0.25">
      <c r="A100" s="9" t="str">
        <f ca="1">IFERROR(__xludf.DUMMYFUNCTION("""COMPUTED_VALUE"""),"SVB1595 - Topik Khusus Tugas Akhir I")</f>
        <v>SVB1595 - Topik Khusus Tugas Akhir I</v>
      </c>
      <c r="B100" s="44">
        <v>99</v>
      </c>
      <c r="C100" s="35" t="str">
        <f t="shared" ca="1" si="3"/>
        <v>SVB1595</v>
      </c>
      <c r="D100" s="35" t="str">
        <f t="shared" ca="1" si="4"/>
        <v>Topik Khusus Tugas Akhir I</v>
      </c>
      <c r="E100" s="44">
        <f ca="1">IFERROR(VLOOKUP(A100,Mentah!D:J,7,FALSE),"")</f>
        <v>2</v>
      </c>
      <c r="F100" s="44" t="str">
        <f ca="1">IFERROR(VLOOKUP(A100,Mentah!D:K,8,FALSE),"")</f>
        <v>B351</v>
      </c>
      <c r="G100" s="35" t="str">
        <f t="shared" ca="1" si="2"/>
        <v>('SVB1595','Topik Khusus Tugas Akhir I','2','B351'),</v>
      </c>
    </row>
    <row r="101" spans="1:7" ht="12.5" x14ac:dyDescent="0.25">
      <c r="A101" s="9" t="str">
        <f ca="1">IFERROR(__xludf.DUMMYFUNCTION("""COMPUTED_VALUE"""),"SVB1552 - Diagnostik dan Instrumentasi Kedokteran")</f>
        <v>SVB1552 - Diagnostik dan Instrumentasi Kedokteran</v>
      </c>
      <c r="B101" s="44">
        <v>100</v>
      </c>
      <c r="C101" s="35" t="str">
        <f t="shared" ca="1" si="3"/>
        <v>SVB1552</v>
      </c>
      <c r="D101" s="35" t="str">
        <f t="shared" ca="1" si="4"/>
        <v>Diagnostik dan Instrumentasi Kedokteran</v>
      </c>
      <c r="E101" s="44">
        <f ca="1">IFERROR(VLOOKUP(A101,Mentah!D:J,7,FALSE),"")</f>
        <v>2</v>
      </c>
      <c r="F101" s="44" t="str">
        <f ca="1">IFERROR(VLOOKUP(A101,Mentah!D:K,8,FALSE),"")</f>
        <v>B351</v>
      </c>
      <c r="G101" s="35" t="str">
        <f t="shared" ca="1" si="2"/>
        <v>('SVB1552','Diagnostik dan Instrumentasi Kedokteran','2','B351'),</v>
      </c>
    </row>
    <row r="102" spans="1:7" ht="12.5" x14ac:dyDescent="0.25">
      <c r="A102" s="9" t="str">
        <f ca="1">IFERROR(__xludf.DUMMYFUNCTION("""COMPUTED_VALUE"""),"SVB1561 - Bioetika dan Hewan Laboratorium")</f>
        <v>SVB1561 - Bioetika dan Hewan Laboratorium</v>
      </c>
      <c r="B102" s="44">
        <v>101</v>
      </c>
      <c r="C102" s="35" t="str">
        <f t="shared" ca="1" si="3"/>
        <v>SVB1561</v>
      </c>
      <c r="D102" s="35" t="str">
        <f t="shared" ca="1" si="4"/>
        <v>Bioetika dan Hewan Laboratorium</v>
      </c>
      <c r="E102" s="44">
        <f ca="1">IFERROR(VLOOKUP(A102,Mentah!D:J,7,FALSE),"")</f>
        <v>2</v>
      </c>
      <c r="F102" s="44" t="str">
        <f ca="1">IFERROR(VLOOKUP(A102,Mentah!D:K,8,FALSE),"")</f>
        <v>B351</v>
      </c>
      <c r="G102" s="35" t="str">
        <f t="shared" ca="1" si="2"/>
        <v>('SVB1561','Bioetika dan Hewan Laboratorium','2','B351'),</v>
      </c>
    </row>
    <row r="103" spans="1:7" ht="12.5" x14ac:dyDescent="0.25">
      <c r="A103" s="9" t="str">
        <f ca="1">IFERROR(__xludf.DUMMYFUNCTION("""COMPUTED_VALUE"""),"SVB151C - Farmakologi Imunomodulator, Antikanker, dan Antimikrob")</f>
        <v>SVB151C - Farmakologi Imunomodulator, Antikanker, dan Antimikrob</v>
      </c>
      <c r="B103" s="44">
        <v>102</v>
      </c>
      <c r="C103" s="35" t="str">
        <f t="shared" ca="1" si="3"/>
        <v>SVB151C</v>
      </c>
      <c r="D103" s="35" t="str">
        <f t="shared" ca="1" si="4"/>
        <v>Farmakologi Imunomodulator, Antikanker, dan Antimikrob</v>
      </c>
      <c r="E103" s="44">
        <f ca="1">IFERROR(VLOOKUP(A103,Mentah!D:J,7,FALSE),"")</f>
        <v>2</v>
      </c>
      <c r="F103" s="44" t="str">
        <f ca="1">IFERROR(VLOOKUP(A103,Mentah!D:K,8,FALSE),"")</f>
        <v>B351</v>
      </c>
      <c r="G103" s="35" t="str">
        <f t="shared" ca="1" si="2"/>
        <v>('SVB151C','Farmakologi Imunomodulator, Antikanker, dan Antimikrob','2','B351'),</v>
      </c>
    </row>
    <row r="104" spans="1:7" ht="12.5" x14ac:dyDescent="0.25">
      <c r="A104" s="9" t="str">
        <f ca="1">IFERROR(__xludf.DUMMYFUNCTION("""COMPUTED_VALUE"""),"SVB1557 - Manajemen Reproduksi")</f>
        <v>SVB1557 - Manajemen Reproduksi</v>
      </c>
      <c r="B104" s="44">
        <v>103</v>
      </c>
      <c r="C104" s="35" t="str">
        <f t="shared" ca="1" si="3"/>
        <v>SVB1557</v>
      </c>
      <c r="D104" s="35" t="str">
        <f t="shared" ca="1" si="4"/>
        <v>Manajemen Reproduksi</v>
      </c>
      <c r="E104" s="44">
        <f ca="1">IFERROR(VLOOKUP(A104,Mentah!D:J,7,FALSE),"")</f>
        <v>2</v>
      </c>
      <c r="F104" s="44" t="str">
        <f ca="1">IFERROR(VLOOKUP(A104,Mentah!D:K,8,FALSE),"")</f>
        <v>B351</v>
      </c>
      <c r="G104" s="35" t="str">
        <f t="shared" ca="1" si="2"/>
        <v>('SVB1557','Manajemen Reproduksi','2','B351'),</v>
      </c>
    </row>
    <row r="105" spans="1:7" ht="12.5" x14ac:dyDescent="0.25">
      <c r="A105" s="9" t="str">
        <f ca="1">IFERROR(__xludf.DUMMYFUNCTION("""COMPUTED_VALUE"""),"SVB1626 - Parasitik Zoonotik")</f>
        <v>SVB1626 - Parasitik Zoonotik</v>
      </c>
      <c r="B105" s="44">
        <v>104</v>
      </c>
      <c r="C105" s="35" t="str">
        <f t="shared" ca="1" si="3"/>
        <v>SVB1626</v>
      </c>
      <c r="D105" s="35" t="str">
        <f t="shared" ca="1" si="4"/>
        <v>Parasitik Zoonotik</v>
      </c>
      <c r="E105" s="44">
        <f ca="1">IFERROR(VLOOKUP(A105,Mentah!D:J,7,FALSE),"")</f>
        <v>2</v>
      </c>
      <c r="F105" s="44" t="str">
        <f ca="1">IFERROR(VLOOKUP(A105,Mentah!D:K,8,FALSE),"")</f>
        <v>B351</v>
      </c>
      <c r="G105" s="35" t="str">
        <f t="shared" ca="1" si="2"/>
        <v>('SVB1626','Parasitik Zoonotik','2','B351'),</v>
      </c>
    </row>
    <row r="106" spans="1:7" ht="12.5" x14ac:dyDescent="0.25">
      <c r="A106" s="9" t="str">
        <f ca="1">IFERROR(__xludf.DUMMYFUNCTION("""COMPUTED_VALUE"""),"STA1515 - Statistika untuk Ilmu-ilmu Kesehatan")</f>
        <v>STA1515 - Statistika untuk Ilmu-ilmu Kesehatan</v>
      </c>
      <c r="B106" s="44">
        <v>105</v>
      </c>
      <c r="C106" s="35" t="str">
        <f t="shared" ca="1" si="3"/>
        <v>STA1515</v>
      </c>
      <c r="D106" s="35" t="str">
        <f t="shared" ca="1" si="4"/>
        <v>Statistika untuk Ilmu-ilmu Kesehatan</v>
      </c>
      <c r="E106" s="44">
        <f ca="1">IFERROR(VLOOKUP(A106,Mentah!D:J,7,FALSE),"")</f>
        <v>2</v>
      </c>
      <c r="F106" s="44" t="str">
        <f ca="1">IFERROR(VLOOKUP(A106,Mentah!D:K,8,FALSE),"")</f>
        <v>B351</v>
      </c>
      <c r="G106" s="35" t="str">
        <f t="shared" ca="1" si="2"/>
        <v>('STA1515','Statistika untuk Ilmu-ilmu Kesehatan','2','B351'),</v>
      </c>
    </row>
    <row r="107" spans="1:7" ht="12.5" x14ac:dyDescent="0.25">
      <c r="A107" s="9" t="str">
        <f ca="1">IFERROR(__xludf.DUMMYFUNCTION("""COMPUTED_VALUE"""),"SVB1625 - Pengendalian Helminth dan Protozoa Parasitik")</f>
        <v>SVB1625 - Pengendalian Helminth dan Protozoa Parasitik</v>
      </c>
      <c r="B107" s="44">
        <v>106</v>
      </c>
      <c r="C107" s="35" t="str">
        <f t="shared" ca="1" si="3"/>
        <v>SVB1625</v>
      </c>
      <c r="D107" s="35" t="str">
        <f t="shared" ca="1" si="4"/>
        <v>Pengendalian Helminth dan Protozoa Parasitik</v>
      </c>
      <c r="E107" s="44">
        <f ca="1">IFERROR(VLOOKUP(A107,Mentah!D:J,7,FALSE),"")</f>
        <v>2</v>
      </c>
      <c r="F107" s="44" t="str">
        <f ca="1">IFERROR(VLOOKUP(A107,Mentah!D:K,8,FALSE),"")</f>
        <v>B351</v>
      </c>
      <c r="G107" s="35" t="str">
        <f t="shared" ca="1" si="2"/>
        <v>('SVB1625','Pengendalian Helminth dan Protozoa Parasitik','2','B351'),</v>
      </c>
    </row>
    <row r="108" spans="1:7" ht="12.5" x14ac:dyDescent="0.25">
      <c r="A108" s="9" t="str">
        <f ca="1">IFERROR(__xludf.DUMMYFUNCTION("""COMPUTED_VALUE"""),"SVB1596 - Topik Khusus Tugas Akhir II")</f>
        <v>SVB1596 - Topik Khusus Tugas Akhir II</v>
      </c>
      <c r="B108" s="44">
        <v>107</v>
      </c>
      <c r="C108" s="35" t="str">
        <f t="shared" ca="1" si="3"/>
        <v>SVB1596</v>
      </c>
      <c r="D108" s="35" t="str">
        <f t="shared" ca="1" si="4"/>
        <v>Topik Khusus Tugas Akhir II</v>
      </c>
      <c r="E108" s="44">
        <f ca="1">IFERROR(VLOOKUP(A108,Mentah!D:J,7,FALSE),"")</f>
        <v>2</v>
      </c>
      <c r="F108" s="44" t="str">
        <f ca="1">IFERROR(VLOOKUP(A108,Mentah!D:K,8,FALSE),"")</f>
        <v>B351</v>
      </c>
      <c r="G108" s="35" t="str">
        <f t="shared" ca="1" si="2"/>
        <v>('SVB1596','Topik Khusus Tugas Akhir II','2','B351'),</v>
      </c>
    </row>
    <row r="109" spans="1:7" ht="12.5" x14ac:dyDescent="0.25">
      <c r="A109" s="9" t="str">
        <f ca="1">IFERROR(__xludf.DUMMYFUNCTION("""COMPUTED_VALUE"""),"SVB1555 - Kesehatan dan Penyakit Reproduksi")</f>
        <v>SVB1555 - Kesehatan dan Penyakit Reproduksi</v>
      </c>
      <c r="B109" s="44">
        <v>108</v>
      </c>
      <c r="C109" s="35" t="str">
        <f t="shared" ca="1" si="3"/>
        <v>SVB1555</v>
      </c>
      <c r="D109" s="35" t="str">
        <f t="shared" ca="1" si="4"/>
        <v>Kesehatan dan Penyakit Reproduksi</v>
      </c>
      <c r="E109" s="44">
        <f ca="1">IFERROR(VLOOKUP(A109,Mentah!D:J,7,FALSE),"")</f>
        <v>2</v>
      </c>
      <c r="F109" s="44" t="str">
        <f ca="1">IFERROR(VLOOKUP(A109,Mentah!D:K,8,FALSE),"")</f>
        <v>B351</v>
      </c>
      <c r="G109" s="35" t="str">
        <f t="shared" ca="1" si="2"/>
        <v>('SVB1555','Kesehatan dan Penyakit Reproduksi','2','B351'),</v>
      </c>
    </row>
    <row r="110" spans="1:7" ht="12.5" x14ac:dyDescent="0.25">
      <c r="A110" s="9" t="str">
        <f ca="1">IFERROR(__xludf.DUMMYFUNCTION("""COMPUTED_VALUE"""),"SVB1634 - Kesejahteraan Hewan dan Kehalalan Produk Hewan")</f>
        <v>SVB1634 - Kesejahteraan Hewan dan Kehalalan Produk Hewan</v>
      </c>
      <c r="B110" s="44">
        <v>109</v>
      </c>
      <c r="C110" s="35" t="str">
        <f t="shared" ca="1" si="3"/>
        <v>SVB1634</v>
      </c>
      <c r="D110" s="35" t="str">
        <f t="shared" ca="1" si="4"/>
        <v>Kesejahteraan Hewan dan Kehalalan Produk Hewan</v>
      </c>
      <c r="E110" s="44">
        <f ca="1">IFERROR(VLOOKUP(A110,Mentah!D:J,7,FALSE),"")</f>
        <v>2</v>
      </c>
      <c r="F110" s="44" t="str">
        <f ca="1">IFERROR(VLOOKUP(A110,Mentah!D:K,8,FALSE),"")</f>
        <v>B351</v>
      </c>
      <c r="G110" s="35" t="str">
        <f t="shared" ca="1" si="2"/>
        <v>('SVB1634','Kesejahteraan Hewan dan Kehalalan Produk Hewan','2','B351'),</v>
      </c>
    </row>
    <row r="111" spans="1:7" ht="12.5" x14ac:dyDescent="0.25">
      <c r="A111" s="9" t="str">
        <f ca="1">IFERROR(__xludf.DUMMYFUNCTION("""COMPUTED_VALUE"""),"SVB1562 - Patofisiologi")</f>
        <v>SVB1562 - Patofisiologi</v>
      </c>
      <c r="B111" s="44">
        <v>110</v>
      </c>
      <c r="C111" s="35" t="str">
        <f t="shared" ca="1" si="3"/>
        <v>SVB1562</v>
      </c>
      <c r="D111" s="35" t="str">
        <f t="shared" ca="1" si="4"/>
        <v>Patofisiologi</v>
      </c>
      <c r="E111" s="44">
        <f ca="1">IFERROR(VLOOKUP(A111,Mentah!D:J,7,FALSE),"")</f>
        <v>2</v>
      </c>
      <c r="F111" s="44" t="str">
        <f ca="1">IFERROR(VLOOKUP(A111,Mentah!D:K,8,FALSE),"")</f>
        <v>B351</v>
      </c>
      <c r="G111" s="35" t="str">
        <f t="shared" ca="1" si="2"/>
        <v>('SVB1562','Patofisiologi','2','B351'),</v>
      </c>
    </row>
    <row r="112" spans="1:7" ht="12.5" x14ac:dyDescent="0.25">
      <c r="A112" s="9" t="str">
        <f ca="1">IFERROR(__xludf.DUMMYFUNCTION("""COMPUTED_VALUE"""),"SVB1545 - Prinsip dan Penerapan Keselamatan dan Keamanan Hayati")</f>
        <v>SVB1545 - Prinsip dan Penerapan Keselamatan dan Keamanan Hayati</v>
      </c>
      <c r="B112" s="44">
        <v>111</v>
      </c>
      <c r="C112" s="35" t="str">
        <f t="shared" ca="1" si="3"/>
        <v>SVB1545</v>
      </c>
      <c r="D112" s="35" t="str">
        <f t="shared" ca="1" si="4"/>
        <v>Prinsip dan Penerapan Keselamatan dan Keamanan Hayati</v>
      </c>
      <c r="E112" s="44">
        <f ca="1">IFERROR(VLOOKUP(A112,Mentah!D:J,7,FALSE),"")</f>
        <v>2</v>
      </c>
      <c r="F112" s="44" t="str">
        <f ca="1">IFERROR(VLOOKUP(A112,Mentah!D:K,8,FALSE),"")</f>
        <v>B351</v>
      </c>
      <c r="G112" s="35" t="str">
        <f t="shared" ca="1" si="2"/>
        <v>('SVB1545','Prinsip dan Penerapan Keselamatan dan Keamanan Hayati','2','B351'),</v>
      </c>
    </row>
    <row r="113" spans="1:7" ht="12.5" x14ac:dyDescent="0.25">
      <c r="A113" s="9" t="str">
        <f ca="1">IFERROR(__xludf.DUMMYFUNCTION("""COMPUTED_VALUE"""),"SVB156C - Mikrofotografi dan Digital Patologi")</f>
        <v>SVB156C - Mikrofotografi dan Digital Patologi</v>
      </c>
      <c r="B113" s="44">
        <v>112</v>
      </c>
      <c r="C113" s="35" t="str">
        <f t="shared" ca="1" si="3"/>
        <v>SVB156C</v>
      </c>
      <c r="D113" s="35" t="str">
        <f t="shared" ca="1" si="4"/>
        <v>Mikrofotografi dan Digital Patologi</v>
      </c>
      <c r="E113" s="44">
        <f ca="1">IFERROR(VLOOKUP(A113,Mentah!D:J,7,FALSE),"")</f>
        <v>2</v>
      </c>
      <c r="F113" s="44" t="str">
        <f ca="1">IFERROR(VLOOKUP(A113,Mentah!D:K,8,FALSE),"")</f>
        <v>B351</v>
      </c>
      <c r="G113" s="35" t="str">
        <f t="shared" ca="1" si="2"/>
        <v>('SVB156C','Mikrofotografi dan Digital Patologi','2','B351'),</v>
      </c>
    </row>
    <row r="114" spans="1:7" ht="12.5" x14ac:dyDescent="0.25">
      <c r="A114" s="9" t="str">
        <f ca="1">IFERROR(__xludf.DUMMYFUNCTION("""COMPUTED_VALUE"""),"SVB1566 - Klinik &amp; Kimia Klinik Eksperimental")</f>
        <v>SVB1566 - Klinik &amp; Kimia Klinik Eksperimental</v>
      </c>
      <c r="B114" s="44">
        <v>113</v>
      </c>
      <c r="C114" s="35" t="str">
        <f t="shared" ca="1" si="3"/>
        <v>SVB1566</v>
      </c>
      <c r="D114" s="35" t="str">
        <f t="shared" ca="1" si="4"/>
        <v>Klinik &amp; Kimia Klinik Eksperimental</v>
      </c>
      <c r="E114" s="44">
        <f ca="1">IFERROR(VLOOKUP(A114,Mentah!D:J,7,FALSE),"")</f>
        <v>2</v>
      </c>
      <c r="F114" s="44" t="str">
        <f ca="1">IFERROR(VLOOKUP(A114,Mentah!D:K,8,FALSE),"")</f>
        <v>B351</v>
      </c>
      <c r="G114" s="35" t="str">
        <f t="shared" ca="1" si="2"/>
        <v>('SVB1566','Klinik &amp; Kimia Klinik Eksperimental','2','B351'),</v>
      </c>
    </row>
    <row r="115" spans="1:7" ht="12.5" x14ac:dyDescent="0.25">
      <c r="A115" s="9" t="str">
        <f ca="1">IFERROR(__xludf.DUMMYFUNCTION("""COMPUTED_VALUE"""),"SVB1563 - Patogenesis Penyakit")</f>
        <v>SVB1563 - Patogenesis Penyakit</v>
      </c>
      <c r="B115" s="44">
        <v>114</v>
      </c>
      <c r="C115" s="35" t="str">
        <f t="shared" ca="1" si="3"/>
        <v>SVB1563</v>
      </c>
      <c r="D115" s="35" t="str">
        <f t="shared" ca="1" si="4"/>
        <v>Patogenesis Penyakit</v>
      </c>
      <c r="E115" s="44">
        <f ca="1">IFERROR(VLOOKUP(A115,Mentah!D:J,7,FALSE),"")</f>
        <v>2</v>
      </c>
      <c r="F115" s="44" t="str">
        <f ca="1">IFERROR(VLOOKUP(A115,Mentah!D:K,8,FALSE),"")</f>
        <v>B351</v>
      </c>
      <c r="G115" s="35" t="str">
        <f t="shared" ca="1" si="2"/>
        <v>('SVB1563','Patogenesis Penyakit','2','B351'),</v>
      </c>
    </row>
    <row r="116" spans="1:7" ht="12.5" x14ac:dyDescent="0.25">
      <c r="A116" s="9" t="str">
        <f ca="1">IFERROR(__xludf.DUMMYFUNCTION("""COMPUTED_VALUE"""),"SVB1541 - Epizootiologi dan Analisis Risiko")</f>
        <v>SVB1541 - Epizootiologi dan Analisis Risiko</v>
      </c>
      <c r="B116" s="44">
        <v>115</v>
      </c>
      <c r="C116" s="35" t="str">
        <f t="shared" ca="1" si="3"/>
        <v>SVB1541</v>
      </c>
      <c r="D116" s="35" t="str">
        <f t="shared" ca="1" si="4"/>
        <v>Epizootiologi dan Analisis Risiko</v>
      </c>
      <c r="E116" s="44">
        <f ca="1">IFERROR(VLOOKUP(A116,Mentah!D:J,7,FALSE),"")</f>
        <v>2</v>
      </c>
      <c r="F116" s="44" t="str">
        <f ca="1">IFERROR(VLOOKUP(A116,Mentah!D:K,8,FALSE),"")</f>
        <v>B351</v>
      </c>
      <c r="G116" s="35" t="str">
        <f t="shared" ca="1" si="2"/>
        <v>('SVB1541','Epizootiologi dan Analisis Risiko','2','B351'),</v>
      </c>
    </row>
    <row r="117" spans="1:7" ht="12.5" x14ac:dyDescent="0.25">
      <c r="A117" s="9" t="str">
        <f ca="1">IFERROR(__xludf.DUMMYFUNCTION("""COMPUTED_VALUE"""),"SVB1521 - Bioekologi dan Klasifikasi Parasit")</f>
        <v>SVB1521 - Bioekologi dan Klasifikasi Parasit</v>
      </c>
      <c r="B117" s="44">
        <v>116</v>
      </c>
      <c r="C117" s="35" t="str">
        <f t="shared" ca="1" si="3"/>
        <v>SVB1521</v>
      </c>
      <c r="D117" s="35" t="str">
        <f t="shared" ca="1" si="4"/>
        <v>Bioekologi dan Klasifikasi Parasit</v>
      </c>
      <c r="E117" s="44">
        <f ca="1">IFERROR(VLOOKUP(A117,Mentah!D:J,7,FALSE),"")</f>
        <v>1</v>
      </c>
      <c r="F117" s="44" t="str">
        <f ca="1">IFERROR(VLOOKUP(A117,Mentah!D:K,8,FALSE),"")</f>
        <v>B351</v>
      </c>
      <c r="G117" s="35" t="str">
        <f t="shared" ca="1" si="2"/>
        <v>('SVB1521','Bioekologi dan Klasifikasi Parasit','1','B351'),</v>
      </c>
    </row>
    <row r="118" spans="1:7" ht="12.5" x14ac:dyDescent="0.25">
      <c r="A118" s="9" t="str">
        <f ca="1">IFERROR(__xludf.DUMMYFUNCTION("""COMPUTED_VALUE"""),"SVB1554 - Transfer Embrio dan Fertilisasi in vitro")</f>
        <v>SVB1554 - Transfer Embrio dan Fertilisasi in vitro</v>
      </c>
      <c r="B118" s="44">
        <v>117</v>
      </c>
      <c r="C118" s="35" t="str">
        <f t="shared" ca="1" si="3"/>
        <v>SVB1554</v>
      </c>
      <c r="D118" s="35" t="str">
        <f t="shared" ca="1" si="4"/>
        <v>Transfer Embrio dan Fertilisasi in vitro</v>
      </c>
      <c r="E118" s="44">
        <f ca="1">IFERROR(VLOOKUP(A118,Mentah!D:J,7,FALSE),"")</f>
        <v>2</v>
      </c>
      <c r="F118" s="44" t="str">
        <f ca="1">IFERROR(VLOOKUP(A118,Mentah!D:K,8,FALSE),"")</f>
        <v>B351</v>
      </c>
      <c r="G118" s="35" t="str">
        <f t="shared" ca="1" si="2"/>
        <v>('SVB1554','Transfer Embrio dan Fertilisasi in vitro','2','B351'),</v>
      </c>
    </row>
    <row r="119" spans="1:7" ht="12.5" x14ac:dyDescent="0.25">
      <c r="A119" s="9" t="str">
        <f ca="1">IFERROR(__xludf.DUMMYFUNCTION("""COMPUTED_VALUE"""),"SVB1535 - Kesehatan Lingkungan")</f>
        <v>SVB1535 - Kesehatan Lingkungan</v>
      </c>
      <c r="B119" s="44">
        <v>118</v>
      </c>
      <c r="C119" s="35" t="str">
        <f t="shared" ca="1" si="3"/>
        <v>SVB1535</v>
      </c>
      <c r="D119" s="35" t="str">
        <f t="shared" ca="1" si="4"/>
        <v>Kesehatan Lingkungan</v>
      </c>
      <c r="E119" s="44">
        <f ca="1">IFERROR(VLOOKUP(A119,Mentah!D:J,7,FALSE),"")</f>
        <v>2</v>
      </c>
      <c r="F119" s="44" t="str">
        <f ca="1">IFERROR(VLOOKUP(A119,Mentah!D:K,8,FALSE),"")</f>
        <v>B351</v>
      </c>
      <c r="G119" s="35" t="str">
        <f t="shared" ca="1" si="2"/>
        <v>('SVB1535','Kesehatan Lingkungan','2','B351'),</v>
      </c>
    </row>
    <row r="120" spans="1:7" ht="12.5" x14ac:dyDescent="0.25">
      <c r="A120" s="9" t="str">
        <f ca="1">IFERROR(__xludf.DUMMYFUNCTION("""COMPUTED_VALUE"""),"SVB1534 - Higiene Pangan dan Sanitary")</f>
        <v>SVB1534 - Higiene Pangan dan Sanitary</v>
      </c>
      <c r="B120" s="44">
        <v>119</v>
      </c>
      <c r="C120" s="35" t="str">
        <f t="shared" ca="1" si="3"/>
        <v>SVB1534</v>
      </c>
      <c r="D120" s="35" t="str">
        <f t="shared" ca="1" si="4"/>
        <v>Higiene Pangan dan Sanitary</v>
      </c>
      <c r="E120" s="44">
        <f ca="1">IFERROR(VLOOKUP(A120,Mentah!D:J,7,FALSE),"")</f>
        <v>2</v>
      </c>
      <c r="F120" s="44" t="str">
        <f ca="1">IFERROR(VLOOKUP(A120,Mentah!D:K,8,FALSE),"")</f>
        <v>B351</v>
      </c>
      <c r="G120" s="35" t="str">
        <f t="shared" ca="1" si="2"/>
        <v>('SVB1534','Higiene Pangan dan Sanitary','2','B351'),</v>
      </c>
    </row>
    <row r="121" spans="1:7" ht="12.5" x14ac:dyDescent="0.25">
      <c r="A121" s="9" t="str">
        <f ca="1">IFERROR(__xludf.DUMMYFUNCTION("""COMPUTED_VALUE"""),"SVB154G - Bioinformatika Medik")</f>
        <v>SVB154G - Bioinformatika Medik</v>
      </c>
      <c r="B121" s="44">
        <v>120</v>
      </c>
      <c r="C121" s="35" t="str">
        <f t="shared" ca="1" si="3"/>
        <v>SVB154G</v>
      </c>
      <c r="D121" s="35" t="str">
        <f t="shared" ca="1" si="4"/>
        <v>Bioinformatika Medik</v>
      </c>
      <c r="E121" s="44">
        <f ca="1">IFERROR(VLOOKUP(A121,Mentah!D:J,7,FALSE),"")</f>
        <v>2</v>
      </c>
      <c r="F121" s="44" t="str">
        <f ca="1">IFERROR(VLOOKUP(A121,Mentah!D:K,8,FALSE),"")</f>
        <v>B351</v>
      </c>
      <c r="G121" s="35" t="str">
        <f t="shared" ca="1" si="2"/>
        <v>('SVB154G','Bioinformatika Medik','2','B351'),</v>
      </c>
    </row>
    <row r="122" spans="1:7" ht="12.5" x14ac:dyDescent="0.25">
      <c r="A122" s="9" t="str">
        <f ca="1">IFERROR(__xludf.DUMMYFUNCTION("""COMPUTED_VALUE"""),"SVB1503 - Biomedis Veteriner")</f>
        <v>SVB1503 - Biomedis Veteriner</v>
      </c>
      <c r="B122" s="44">
        <v>121</v>
      </c>
      <c r="C122" s="35" t="str">
        <f t="shared" ca="1" si="3"/>
        <v>SVB1503</v>
      </c>
      <c r="D122" s="35" t="str">
        <f t="shared" ca="1" si="4"/>
        <v>Biomedis Veteriner</v>
      </c>
      <c r="E122" s="44">
        <f ca="1">IFERROR(VLOOKUP(A122,Mentah!D:J,7,FALSE),"")</f>
        <v>2</v>
      </c>
      <c r="F122" s="44" t="str">
        <f ca="1">IFERROR(VLOOKUP(A122,Mentah!D:K,8,FALSE),"")</f>
        <v>B351</v>
      </c>
      <c r="G122" s="35" t="str">
        <f t="shared" ca="1" si="2"/>
        <v>('SVB1503','Biomedis Veteriner','2','B351'),</v>
      </c>
    </row>
    <row r="123" spans="1:7" ht="12.5" x14ac:dyDescent="0.25">
      <c r="A123" s="9" t="str">
        <f ca="1">IFERROR(__xludf.DUMMYFUNCTION("""COMPUTED_VALUE"""),"SVB1628 - Patofisiologi Helminth dan Protozoa Parasitik")</f>
        <v>SVB1628 - Patofisiologi Helminth dan Protozoa Parasitik</v>
      </c>
      <c r="B123" s="44">
        <v>122</v>
      </c>
      <c r="C123" s="35" t="str">
        <f t="shared" ca="1" si="3"/>
        <v>SVB1628</v>
      </c>
      <c r="D123" s="35" t="str">
        <f t="shared" ca="1" si="4"/>
        <v>Patofisiologi Helminth dan Protozoa Parasitik</v>
      </c>
      <c r="E123" s="44">
        <f ca="1">IFERROR(VLOOKUP(A123,Mentah!D:J,7,FALSE),"")</f>
        <v>2</v>
      </c>
      <c r="F123" s="44" t="str">
        <f ca="1">IFERROR(VLOOKUP(A123,Mentah!D:K,8,FALSE),"")</f>
        <v>B351</v>
      </c>
      <c r="G123" s="35" t="str">
        <f t="shared" ca="1" si="2"/>
        <v>('SVB1628','Patofisiologi Helminth dan Protozoa Parasitik','2','B351'),</v>
      </c>
    </row>
    <row r="124" spans="1:7" ht="12.5" x14ac:dyDescent="0.25">
      <c r="A124" s="9" t="str">
        <f ca="1">IFERROR(__xludf.DUMMYFUNCTION("""COMPUTED_VALUE"""),"SVB151A - Analisis Khasiat dan Keamanan Bahan Alam")</f>
        <v>SVB151A - Analisis Khasiat dan Keamanan Bahan Alam</v>
      </c>
      <c r="B124" s="44">
        <v>123</v>
      </c>
      <c r="C124" s="35" t="str">
        <f t="shared" ca="1" si="3"/>
        <v>SVB151A</v>
      </c>
      <c r="D124" s="35" t="str">
        <f t="shared" ca="1" si="4"/>
        <v>Analisis Khasiat dan Keamanan Bahan Alam</v>
      </c>
      <c r="E124" s="44">
        <f ca="1">IFERROR(VLOOKUP(A124,Mentah!D:J,7,FALSE),"")</f>
        <v>2</v>
      </c>
      <c r="F124" s="44" t="str">
        <f ca="1">IFERROR(VLOOKUP(A124,Mentah!D:K,8,FALSE),"")</f>
        <v>B351</v>
      </c>
      <c r="G124" s="35" t="str">
        <f t="shared" ca="1" si="2"/>
        <v>('SVB151A','Analisis Khasiat dan Keamanan Bahan Alam','2','B351'),</v>
      </c>
    </row>
    <row r="125" spans="1:7" ht="12.5" x14ac:dyDescent="0.25">
      <c r="A125" s="9" t="str">
        <f ca="1">IFERROR(__xludf.DUMMYFUNCTION("""COMPUTED_VALUE"""),"SVB1568 - Bedah Eksperimental")</f>
        <v>SVB1568 - Bedah Eksperimental</v>
      </c>
      <c r="B125" s="44">
        <v>124</v>
      </c>
      <c r="C125" s="35" t="str">
        <f t="shared" ca="1" si="3"/>
        <v>SVB1568</v>
      </c>
      <c r="D125" s="35" t="str">
        <f t="shared" ca="1" si="4"/>
        <v>Bedah Eksperimental</v>
      </c>
      <c r="E125" s="44">
        <f ca="1">IFERROR(VLOOKUP(A125,Mentah!D:J,7,FALSE),"")</f>
        <v>2</v>
      </c>
      <c r="F125" s="44" t="str">
        <f ca="1">IFERROR(VLOOKUP(A125,Mentah!D:K,8,FALSE),"")</f>
        <v>B351</v>
      </c>
      <c r="G125" s="35" t="str">
        <f t="shared" ca="1" si="2"/>
        <v>('SVB1568','Bedah Eksperimental','2','B351'),</v>
      </c>
    </row>
    <row r="126" spans="1:7" ht="12.5" x14ac:dyDescent="0.25">
      <c r="A126" s="9" t="str">
        <f ca="1">IFERROR(__xludf.DUMMYFUNCTION("""COMPUTED_VALUE"""),"SVB1502 - Filsafat Ilmu Kesehatan")</f>
        <v>SVB1502 - Filsafat Ilmu Kesehatan</v>
      </c>
      <c r="B126" s="44">
        <v>125</v>
      </c>
      <c r="C126" s="35" t="str">
        <f t="shared" ca="1" si="3"/>
        <v>SVB1502</v>
      </c>
      <c r="D126" s="35" t="str">
        <f t="shared" ca="1" si="4"/>
        <v>Filsafat Ilmu Kesehatan</v>
      </c>
      <c r="E126" s="44">
        <f ca="1">IFERROR(VLOOKUP(A126,Mentah!D:J,7,FALSE),"")</f>
        <v>2</v>
      </c>
      <c r="F126" s="44" t="str">
        <f ca="1">IFERROR(VLOOKUP(A126,Mentah!D:K,8,FALSE),"")</f>
        <v>B351</v>
      </c>
      <c r="G126" s="35" t="str">
        <f t="shared" ca="1" si="2"/>
        <v>('SVB1502','Filsafat Ilmu Kesehatan','2','B351'),</v>
      </c>
    </row>
    <row r="127" spans="1:7" ht="12.5" x14ac:dyDescent="0.25">
      <c r="A127" s="9" t="str">
        <f ca="1">IFERROR(__xludf.DUMMYFUNCTION("""COMPUTED_VALUE"""),"SVB154E - Antibiotika dan Mekanisme Kerja")</f>
        <v>SVB154E - Antibiotika dan Mekanisme Kerja</v>
      </c>
      <c r="B127" s="44">
        <v>126</v>
      </c>
      <c r="C127" s="35" t="str">
        <f t="shared" ca="1" si="3"/>
        <v>SVB154E</v>
      </c>
      <c r="D127" s="35" t="str">
        <f t="shared" ca="1" si="4"/>
        <v>Antibiotika dan Mekanisme Kerja</v>
      </c>
      <c r="E127" s="44">
        <f ca="1">IFERROR(VLOOKUP(A127,Mentah!D:J,7,FALSE),"")</f>
        <v>2</v>
      </c>
      <c r="F127" s="44" t="str">
        <f ca="1">IFERROR(VLOOKUP(A127,Mentah!D:K,8,FALSE),"")</f>
        <v>B351</v>
      </c>
      <c r="G127" s="35" t="str">
        <f t="shared" ca="1" si="2"/>
        <v>('SVB154E','Antibiotika dan Mekanisme Kerja','2','B351'),</v>
      </c>
    </row>
    <row r="128" spans="1:7" ht="12.5" x14ac:dyDescent="0.25">
      <c r="A128" s="9" t="str">
        <f ca="1">IFERROR(__xludf.DUMMYFUNCTION("""COMPUTED_VALUE"""),"SVB1501 - Metodologi Penelitian Biomedis")</f>
        <v>SVB1501 - Metodologi Penelitian Biomedis</v>
      </c>
      <c r="B128" s="44">
        <v>127</v>
      </c>
      <c r="C128" s="35" t="str">
        <f t="shared" ca="1" si="3"/>
        <v>SVB1501</v>
      </c>
      <c r="D128" s="35" t="str">
        <f t="shared" ca="1" si="4"/>
        <v>Metodologi Penelitian Biomedis</v>
      </c>
      <c r="E128" s="44">
        <f ca="1">IFERROR(VLOOKUP(A128,Mentah!D:J,7,FALSE),"")</f>
        <v>2</v>
      </c>
      <c r="F128" s="44" t="str">
        <f ca="1">IFERROR(VLOOKUP(A128,Mentah!D:K,8,FALSE),"")</f>
        <v>B351</v>
      </c>
      <c r="G128" s="35" t="str">
        <f t="shared" ca="1" si="2"/>
        <v>('SVB1501','Metodologi Penelitian Biomedis','2','B351'),</v>
      </c>
    </row>
    <row r="129" spans="1:7" ht="12.5" x14ac:dyDescent="0.25">
      <c r="A129" s="9" t="str">
        <f ca="1">IFERROR(__xludf.DUMMYFUNCTION("""COMPUTED_VALUE"""),"SVB1546 - Teknik Produksi dan Evaluasi Bahan Biologik")</f>
        <v>SVB1546 - Teknik Produksi dan Evaluasi Bahan Biologik</v>
      </c>
      <c r="B129" s="44">
        <v>128</v>
      </c>
      <c r="C129" s="35" t="str">
        <f t="shared" ca="1" si="3"/>
        <v>SVB1546</v>
      </c>
      <c r="D129" s="35" t="str">
        <f t="shared" ca="1" si="4"/>
        <v>Teknik Produksi dan Evaluasi Bahan Biologik</v>
      </c>
      <c r="E129" s="44">
        <f ca="1">IFERROR(VLOOKUP(A129,Mentah!D:J,7,FALSE),"")</f>
        <v>2</v>
      </c>
      <c r="F129" s="44" t="str">
        <f ca="1">IFERROR(VLOOKUP(A129,Mentah!D:K,8,FALSE),"")</f>
        <v>B351</v>
      </c>
      <c r="G129" s="35" t="str">
        <f t="shared" ca="1" si="2"/>
        <v>('SVB1546','Teknik Produksi dan Evaluasi Bahan Biologik','2','B351'),</v>
      </c>
    </row>
    <row r="130" spans="1:7" ht="12.5" x14ac:dyDescent="0.25">
      <c r="A130" s="9" t="str">
        <f ca="1">IFERROR(__xludf.DUMMYFUNCTION("""COMPUTED_VALUE"""),"AKU1651 - Engineering Ekologi Akuakultur")</f>
        <v>AKU1651 - Engineering Ekologi Akuakultur</v>
      </c>
      <c r="B130" s="44">
        <v>129</v>
      </c>
      <c r="C130" s="35" t="str">
        <f t="shared" ref="C130:C193" ca="1" si="5">IFERROR(LEFT(A130,7),"")</f>
        <v>AKU1651</v>
      </c>
      <c r="D130" s="35" t="str">
        <f t="shared" ref="D130:D193" ca="1" si="6">IFERROR(MID(A130,11,99),"")</f>
        <v>Engineering Ekologi Akuakultur</v>
      </c>
      <c r="E130" s="44">
        <f ca="1">IFERROR(VLOOKUP(A130,Mentah!D:J,7,FALSE),"")</f>
        <v>2</v>
      </c>
      <c r="F130" s="44" t="str">
        <f ca="1">IFERROR(VLOOKUP(A130,Mentah!D:K,8,FALSE),"")</f>
        <v>C151</v>
      </c>
      <c r="G130" s="35" t="str">
        <f t="shared" ca="1" si="2"/>
        <v>('AKU1651','Engineering Ekologi Akuakultur','2','C151'),</v>
      </c>
    </row>
    <row r="131" spans="1:7" ht="12.5" x14ac:dyDescent="0.25">
      <c r="A131" s="9" t="str">
        <f ca="1">IFERROR(__xludf.DUMMYFUNCTION("""COMPUTED_VALUE"""),"AKU1621 - Fisiologi Reproduksi Vertebrata Air")</f>
        <v>AKU1621 - Fisiologi Reproduksi Vertebrata Air</v>
      </c>
      <c r="B131" s="44">
        <v>130</v>
      </c>
      <c r="C131" s="35" t="str">
        <f t="shared" ca="1" si="5"/>
        <v>AKU1621</v>
      </c>
      <c r="D131" s="35" t="str">
        <f t="shared" ca="1" si="6"/>
        <v>Fisiologi Reproduksi Vertebrata Air</v>
      </c>
      <c r="E131" s="44">
        <f ca="1">IFERROR(VLOOKUP(A131,Mentah!D:J,7,FALSE),"")</f>
        <v>2</v>
      </c>
      <c r="F131" s="44" t="str">
        <f ca="1">IFERROR(VLOOKUP(A131,Mentah!D:K,8,FALSE),"")</f>
        <v>C151</v>
      </c>
      <c r="G131" s="35" t="str">
        <f t="shared" ca="1" si="2"/>
        <v>('AKU1621','Fisiologi Reproduksi Vertebrata Air','2','C151'),</v>
      </c>
    </row>
    <row r="132" spans="1:7" ht="12.5" x14ac:dyDescent="0.25">
      <c r="A132" s="9" t="str">
        <f ca="1">IFERROR(__xludf.DUMMYFUNCTION("""COMPUTED_VALUE"""),"AKU1641 - Patologi Ikan")</f>
        <v>AKU1641 - Patologi Ikan</v>
      </c>
      <c r="B132" s="44">
        <v>131</v>
      </c>
      <c r="C132" s="35" t="str">
        <f t="shared" ca="1" si="5"/>
        <v>AKU1641</v>
      </c>
      <c r="D132" s="35" t="str">
        <f t="shared" ca="1" si="6"/>
        <v>Patologi Ikan</v>
      </c>
      <c r="E132" s="44">
        <f ca="1">IFERROR(VLOOKUP(A132,Mentah!D:J,7,FALSE),"")</f>
        <v>2</v>
      </c>
      <c r="F132" s="44" t="str">
        <f ca="1">IFERROR(VLOOKUP(A132,Mentah!D:K,8,FALSE),"")</f>
        <v>C151</v>
      </c>
      <c r="G132" s="35" t="str">
        <f t="shared" ca="1" si="2"/>
        <v>('AKU1641','Patologi Ikan','2','C151'),</v>
      </c>
    </row>
    <row r="133" spans="1:7" ht="12.5" x14ac:dyDescent="0.25">
      <c r="A133" s="9" t="str">
        <f ca="1">IFERROR(__xludf.DUMMYFUNCTION("""COMPUTED_VALUE"""),"AKU1623 - Ilmu dan Teknologi Hatchery Akuakultur")</f>
        <v>AKU1623 - Ilmu dan Teknologi Hatchery Akuakultur</v>
      </c>
      <c r="B133" s="44">
        <v>132</v>
      </c>
      <c r="C133" s="35" t="str">
        <f t="shared" ca="1" si="5"/>
        <v>AKU1623</v>
      </c>
      <c r="D133" s="35" t="str">
        <f t="shared" ca="1" si="6"/>
        <v>Ilmu dan Teknologi Hatchery Akuakultur</v>
      </c>
      <c r="E133" s="44">
        <f ca="1">IFERROR(VLOOKUP(A133,Mentah!D:J,7,FALSE),"")</f>
        <v>2</v>
      </c>
      <c r="F133" s="44" t="str">
        <f ca="1">IFERROR(VLOOKUP(A133,Mentah!D:K,8,FALSE),"")</f>
        <v>C151</v>
      </c>
      <c r="G133" s="35" t="str">
        <f t="shared" ca="1" si="2"/>
        <v>('AKU1623','Ilmu dan Teknologi Hatchery Akuakultur','2','C151'),</v>
      </c>
    </row>
    <row r="134" spans="1:7" ht="12.5" x14ac:dyDescent="0.25">
      <c r="A134" s="9" t="str">
        <f ca="1">IFERROR(__xludf.DUMMYFUNCTION("""COMPUTED_VALUE"""),"AKU1522 - Fisiologi dan Tingkah Laku Larva")</f>
        <v>AKU1522 - Fisiologi dan Tingkah Laku Larva</v>
      </c>
      <c r="B134" s="44">
        <v>133</v>
      </c>
      <c r="C134" s="35" t="str">
        <f t="shared" ca="1" si="5"/>
        <v>AKU1522</v>
      </c>
      <c r="D134" s="35" t="str">
        <f t="shared" ca="1" si="6"/>
        <v>Fisiologi dan Tingkah Laku Larva</v>
      </c>
      <c r="E134" s="44">
        <f ca="1">IFERROR(VLOOKUP(A134,Mentah!D:J,7,FALSE),"")</f>
        <v>2</v>
      </c>
      <c r="F134" s="44" t="str">
        <f ca="1">IFERROR(VLOOKUP(A134,Mentah!D:K,8,FALSE),"")</f>
        <v>C151</v>
      </c>
      <c r="G134" s="35" t="str">
        <f t="shared" ca="1" si="2"/>
        <v>('AKU1522','Fisiologi dan Tingkah Laku Larva','2','C151'),</v>
      </c>
    </row>
    <row r="135" spans="1:7" ht="12.5" x14ac:dyDescent="0.25">
      <c r="A135" s="9" t="str">
        <f ca="1">IFERROR(__xludf.DUMMYFUNCTION("""COMPUTED_VALUE"""),"AKU1691 - Kolokium")</f>
        <v>AKU1691 - Kolokium</v>
      </c>
      <c r="B135" s="44">
        <v>134</v>
      </c>
      <c r="C135" s="35" t="str">
        <f t="shared" ca="1" si="5"/>
        <v>AKU1691</v>
      </c>
      <c r="D135" s="35" t="str">
        <f t="shared" ca="1" si="6"/>
        <v>Kolokium</v>
      </c>
      <c r="E135" s="44">
        <f ca="1">IFERROR(VLOOKUP(A135,Mentah!D:J,7,FALSE),"")</f>
        <v>2</v>
      </c>
      <c r="F135" s="44" t="str">
        <f ca="1">IFERROR(VLOOKUP(A135,Mentah!D:K,8,FALSE),"")</f>
        <v>C151</v>
      </c>
      <c r="G135" s="35" t="str">
        <f t="shared" ca="1" si="2"/>
        <v>('AKU1691','Kolokium','2','C151'),</v>
      </c>
    </row>
    <row r="136" spans="1:7" ht="12.5" x14ac:dyDescent="0.25">
      <c r="A136" s="9" t="str">
        <f ca="1">IFERROR(__xludf.DUMMYFUNCTION("""COMPUTED_VALUE"""),"AKU1642 - Imunoteknologi Akuakultur")</f>
        <v>AKU1642 - Imunoteknologi Akuakultur</v>
      </c>
      <c r="B136" s="44">
        <v>135</v>
      </c>
      <c r="C136" s="35" t="str">
        <f t="shared" ca="1" si="5"/>
        <v>AKU1642</v>
      </c>
      <c r="D136" s="35" t="str">
        <f t="shared" ca="1" si="6"/>
        <v>Imunoteknologi Akuakultur</v>
      </c>
      <c r="E136" s="44">
        <f ca="1">IFERROR(VLOOKUP(A136,Mentah!D:J,7,FALSE),"")</f>
        <v>2</v>
      </c>
      <c r="F136" s="44" t="str">
        <f ca="1">IFERROR(VLOOKUP(A136,Mentah!D:K,8,FALSE),"")</f>
        <v>C151</v>
      </c>
      <c r="G136" s="35" t="str">
        <f t="shared" ca="1" si="2"/>
        <v>('AKU1642','Imunoteknologi Akuakultur','2','C151'),</v>
      </c>
    </row>
    <row r="137" spans="1:7" ht="12.5" x14ac:dyDescent="0.25">
      <c r="A137" s="9" t="str">
        <f ca="1">IFERROR(__xludf.DUMMYFUNCTION("""COMPUTED_VALUE"""),"AKU1501 - Metode Penelitian Akuakultur")</f>
        <v>AKU1501 - Metode Penelitian Akuakultur</v>
      </c>
      <c r="B137" s="44">
        <v>136</v>
      </c>
      <c r="C137" s="35" t="str">
        <f t="shared" ca="1" si="5"/>
        <v>AKU1501</v>
      </c>
      <c r="D137" s="35" t="str">
        <f t="shared" ca="1" si="6"/>
        <v>Metode Penelitian Akuakultur</v>
      </c>
      <c r="E137" s="44">
        <f ca="1">IFERROR(VLOOKUP(A137,Mentah!D:J,7,FALSE),"")</f>
        <v>2</v>
      </c>
      <c r="F137" s="44" t="str">
        <f ca="1">IFERROR(VLOOKUP(A137,Mentah!D:K,8,FALSE),"")</f>
        <v>C151</v>
      </c>
      <c r="G137" s="35" t="str">
        <f t="shared" ca="1" si="2"/>
        <v>('AKU1501','Metode Penelitian Akuakultur','2','C151'),</v>
      </c>
    </row>
    <row r="138" spans="1:7" ht="12.5" x14ac:dyDescent="0.25">
      <c r="A138" s="9" t="str">
        <f ca="1">IFERROR(__xludf.DUMMYFUNCTION("""COMPUTED_VALUE"""),"AKU1622 - Genetika dan Seleksi Ikan")</f>
        <v>AKU1622 - Genetika dan Seleksi Ikan</v>
      </c>
      <c r="B138" s="44">
        <v>137</v>
      </c>
      <c r="C138" s="35" t="str">
        <f t="shared" ca="1" si="5"/>
        <v>AKU1622</v>
      </c>
      <c r="D138" s="35" t="str">
        <f t="shared" ca="1" si="6"/>
        <v>Genetika dan Seleksi Ikan</v>
      </c>
      <c r="E138" s="44">
        <f ca="1">IFERROR(VLOOKUP(A138,Mentah!D:J,7,FALSE),"")</f>
        <v>2</v>
      </c>
      <c r="F138" s="44" t="str">
        <f ca="1">IFERROR(VLOOKUP(A138,Mentah!D:K,8,FALSE),"")</f>
        <v>C151</v>
      </c>
      <c r="G138" s="35" t="str">
        <f t="shared" ca="1" si="2"/>
        <v>('AKU1622','Genetika dan Seleksi Ikan','2','C151'),</v>
      </c>
    </row>
    <row r="139" spans="1:7" ht="12.5" x14ac:dyDescent="0.25">
      <c r="A139" s="9" t="str">
        <f ca="1">IFERROR(__xludf.DUMMYFUNCTION("""COMPUTED_VALUE"""),"AKU1611 - Pengembangan Akuakultur Berkelanjutan")</f>
        <v>AKU1611 - Pengembangan Akuakultur Berkelanjutan</v>
      </c>
      <c r="B139" s="44">
        <v>138</v>
      </c>
      <c r="C139" s="35" t="str">
        <f t="shared" ca="1" si="5"/>
        <v>AKU1611</v>
      </c>
      <c r="D139" s="35" t="str">
        <f t="shared" ca="1" si="6"/>
        <v>Pengembangan Akuakultur Berkelanjutan</v>
      </c>
      <c r="E139" s="44">
        <f ca="1">IFERROR(VLOOKUP(A139,Mentah!D:J,7,FALSE),"")</f>
        <v>2</v>
      </c>
      <c r="F139" s="44" t="str">
        <f ca="1">IFERROR(VLOOKUP(A139,Mentah!D:K,8,FALSE),"")</f>
        <v>C151</v>
      </c>
      <c r="G139" s="35" t="str">
        <f t="shared" ca="1" si="2"/>
        <v>('AKU1611','Pengembangan Akuakultur Berkelanjutan','2','C151'),</v>
      </c>
    </row>
    <row r="140" spans="1:7" ht="12.5" x14ac:dyDescent="0.25">
      <c r="A140" s="9" t="str">
        <f ca="1">IFERROR(__xludf.DUMMYFUNCTION("""COMPUTED_VALUE"""),"AKU1612 - Manajemen Bisnis dan Regulasi Akuakultur")</f>
        <v>AKU1612 - Manajemen Bisnis dan Regulasi Akuakultur</v>
      </c>
      <c r="B140" s="44">
        <v>139</v>
      </c>
      <c r="C140" s="35" t="str">
        <f t="shared" ca="1" si="5"/>
        <v>AKU1612</v>
      </c>
      <c r="D140" s="35" t="str">
        <f t="shared" ca="1" si="6"/>
        <v>Manajemen Bisnis dan Regulasi Akuakultur</v>
      </c>
      <c r="E140" s="44">
        <f ca="1">IFERROR(VLOOKUP(A140,Mentah!D:J,7,FALSE),"")</f>
        <v>2</v>
      </c>
      <c r="F140" s="44" t="str">
        <f ca="1">IFERROR(VLOOKUP(A140,Mentah!D:K,8,FALSE),"")</f>
        <v>C151</v>
      </c>
      <c r="G140" s="35" t="str">
        <f t="shared" ca="1" si="2"/>
        <v>('AKU1612','Manajemen Bisnis dan Regulasi Akuakultur','2','C151'),</v>
      </c>
    </row>
    <row r="141" spans="1:7" ht="12.5" x14ac:dyDescent="0.25">
      <c r="A141" s="9" t="str">
        <f ca="1">IFERROR(__xludf.DUMMYFUNCTION("""COMPUTED_VALUE"""),"AKU1632 - Teknologi Pakan Akuakultur")</f>
        <v>AKU1632 - Teknologi Pakan Akuakultur</v>
      </c>
      <c r="B141" s="44">
        <v>140</v>
      </c>
      <c r="C141" s="35" t="str">
        <f t="shared" ca="1" si="5"/>
        <v>AKU1632</v>
      </c>
      <c r="D141" s="35" t="str">
        <f t="shared" ca="1" si="6"/>
        <v>Teknologi Pakan Akuakultur</v>
      </c>
      <c r="E141" s="44">
        <f ca="1">IFERROR(VLOOKUP(A141,Mentah!D:J,7,FALSE),"")</f>
        <v>2</v>
      </c>
      <c r="F141" s="44" t="str">
        <f ca="1">IFERROR(VLOOKUP(A141,Mentah!D:K,8,FALSE),"")</f>
        <v>C151</v>
      </c>
      <c r="G141" s="35" t="str">
        <f t="shared" ca="1" si="2"/>
        <v>('AKU1632','Teknologi Pakan Akuakultur','2','C151'),</v>
      </c>
    </row>
    <row r="142" spans="1:7" ht="12.5" x14ac:dyDescent="0.25">
      <c r="A142" s="9" t="str">
        <f ca="1">IFERROR(__xludf.DUMMYFUNCTION("""COMPUTED_VALUE"""),"AKU1631 - Bioenergetika Ikan")</f>
        <v>AKU1631 - Bioenergetika Ikan</v>
      </c>
      <c r="B142" s="44">
        <v>141</v>
      </c>
      <c r="C142" s="35" t="str">
        <f t="shared" ca="1" si="5"/>
        <v>AKU1631</v>
      </c>
      <c r="D142" s="35" t="str">
        <f t="shared" ca="1" si="6"/>
        <v>Bioenergetika Ikan</v>
      </c>
      <c r="E142" s="44">
        <f ca="1">IFERROR(VLOOKUP(A142,Mentah!D:J,7,FALSE),"")</f>
        <v>2</v>
      </c>
      <c r="F142" s="44" t="str">
        <f ca="1">IFERROR(VLOOKUP(A142,Mentah!D:K,8,FALSE),"")</f>
        <v>C151</v>
      </c>
      <c r="G142" s="35" t="str">
        <f t="shared" ca="1" si="2"/>
        <v>('AKU1631','Bioenergetika Ikan','2','C151'),</v>
      </c>
    </row>
    <row r="143" spans="1:7" ht="12.5" x14ac:dyDescent="0.25">
      <c r="A143" s="9" t="str">
        <f ca="1">IFERROR(__xludf.DUMMYFUNCTION("""COMPUTED_VALUE"""),"AKU1652 - Toksikologi Akuakultur")</f>
        <v>AKU1652 - Toksikologi Akuakultur</v>
      </c>
      <c r="B143" s="44">
        <v>142</v>
      </c>
      <c r="C143" s="35" t="str">
        <f t="shared" ca="1" si="5"/>
        <v>AKU1652</v>
      </c>
      <c r="D143" s="35" t="str">
        <f t="shared" ca="1" si="6"/>
        <v>Toksikologi Akuakultur</v>
      </c>
      <c r="E143" s="44">
        <f ca="1">IFERROR(VLOOKUP(A143,Mentah!D:J,7,FALSE),"")</f>
        <v>2</v>
      </c>
      <c r="F143" s="44" t="str">
        <f ca="1">IFERROR(VLOOKUP(A143,Mentah!D:K,8,FALSE),"")</f>
        <v>C151</v>
      </c>
      <c r="G143" s="35" t="str">
        <f t="shared" ca="1" si="2"/>
        <v>('AKU1652','Toksikologi Akuakultur','2','C151'),</v>
      </c>
    </row>
    <row r="144" spans="1:7" ht="12.5" x14ac:dyDescent="0.25">
      <c r="A144" s="9" t="str">
        <f ca="1">IFERROR(__xludf.DUMMYFUNCTION("""COMPUTED_VALUE"""),"SDP1526 - Pengelolaan Spesies Asing Invasif")</f>
        <v>SDP1526 - Pengelolaan Spesies Asing Invasif</v>
      </c>
      <c r="B144" s="44">
        <v>143</v>
      </c>
      <c r="C144" s="35" t="str">
        <f t="shared" ca="1" si="5"/>
        <v>SDP1526</v>
      </c>
      <c r="D144" s="35" t="str">
        <f t="shared" ca="1" si="6"/>
        <v>Pengelolaan Spesies Asing Invasif</v>
      </c>
      <c r="E144" s="44">
        <f ca="1">IFERROR(VLOOKUP(A144,Mentah!D:J,7,FALSE),"")</f>
        <v>2</v>
      </c>
      <c r="F144" s="44" t="str">
        <f ca="1">IFERROR(VLOOKUP(A144,Mentah!D:K,8,FALSE),"")</f>
        <v>C251</v>
      </c>
      <c r="G144" s="35" t="str">
        <f t="shared" ca="1" si="2"/>
        <v>('SDP1526','Pengelolaan Spesies Asing Invasif','2','C251'),</v>
      </c>
    </row>
    <row r="145" spans="1:7" ht="12.5" x14ac:dyDescent="0.25">
      <c r="A145" s="9" t="str">
        <f ca="1">IFERROR(__xludf.DUMMYFUNCTION("""COMPUTED_VALUE"""),"SDP1524 - Ekobiologi Krustasea dan Moluska")</f>
        <v>SDP1524 - Ekobiologi Krustasea dan Moluska</v>
      </c>
      <c r="B145" s="44">
        <v>144</v>
      </c>
      <c r="C145" s="35" t="str">
        <f t="shared" ca="1" si="5"/>
        <v>SDP1524</v>
      </c>
      <c r="D145" s="35" t="str">
        <f t="shared" ca="1" si="6"/>
        <v>Ekobiologi Krustasea dan Moluska</v>
      </c>
      <c r="E145" s="44">
        <f ca="1">IFERROR(VLOOKUP(A145,Mentah!D:J,7,FALSE),"")</f>
        <v>2</v>
      </c>
      <c r="F145" s="44" t="str">
        <f ca="1">IFERROR(VLOOKUP(A145,Mentah!D:K,8,FALSE),"")</f>
        <v>C251</v>
      </c>
      <c r="G145" s="35" t="str">
        <f t="shared" ca="1" si="2"/>
        <v>('SDP1524','Ekobiologi Krustasea dan Moluska','2','C251'),</v>
      </c>
    </row>
    <row r="146" spans="1:7" ht="12.5" x14ac:dyDescent="0.25">
      <c r="A146" s="9" t="str">
        <f ca="1">IFERROR(__xludf.DUMMYFUNCTION("""COMPUTED_VALUE"""),"SDP1523 - Ekobiologi Ikan")</f>
        <v>SDP1523 - Ekobiologi Ikan</v>
      </c>
      <c r="B146" s="44">
        <v>145</v>
      </c>
      <c r="C146" s="35" t="str">
        <f t="shared" ca="1" si="5"/>
        <v>SDP1523</v>
      </c>
      <c r="D146" s="35" t="str">
        <f t="shared" ca="1" si="6"/>
        <v>Ekobiologi Ikan</v>
      </c>
      <c r="E146" s="44">
        <f ca="1">IFERROR(VLOOKUP(A146,Mentah!D:J,7,FALSE),"")</f>
        <v>2</v>
      </c>
      <c r="F146" s="44" t="str">
        <f ca="1">IFERROR(VLOOKUP(A146,Mentah!D:K,8,FALSE),"")</f>
        <v>C251</v>
      </c>
      <c r="G146" s="35" t="str">
        <f t="shared" ca="1" si="2"/>
        <v>('SDP1523','Ekobiologi Ikan','2','C251'),</v>
      </c>
    </row>
    <row r="147" spans="1:7" ht="12.5" x14ac:dyDescent="0.25">
      <c r="A147" s="9" t="str">
        <f ca="1">IFERROR(__xludf.DUMMYFUNCTION("""COMPUTED_VALUE"""),"SDP1521 - Biodiversitas dan Konservasi Perairan")</f>
        <v>SDP1521 - Biodiversitas dan Konservasi Perairan</v>
      </c>
      <c r="B147" s="44">
        <v>146</v>
      </c>
      <c r="C147" s="35" t="str">
        <f t="shared" ca="1" si="5"/>
        <v>SDP1521</v>
      </c>
      <c r="D147" s="35" t="str">
        <f t="shared" ca="1" si="6"/>
        <v>Biodiversitas dan Konservasi Perairan</v>
      </c>
      <c r="E147" s="44">
        <f ca="1">IFERROR(VLOOKUP(A147,Mentah!D:J,7,FALSE),"")</f>
        <v>1</v>
      </c>
      <c r="F147" s="44" t="str">
        <f ca="1">IFERROR(VLOOKUP(A147,Mentah!D:K,8,FALSE),"")</f>
        <v>C251</v>
      </c>
      <c r="G147" s="35" t="str">
        <f t="shared" ca="1" si="2"/>
        <v>('SDP1521','Biodiversitas dan Konservasi Perairan','1','C251'),</v>
      </c>
    </row>
    <row r="148" spans="1:7" ht="12.5" x14ac:dyDescent="0.25">
      <c r="A148" s="9" t="str">
        <f ca="1">IFERROR(__xludf.DUMMYFUNCTION("""COMPUTED_VALUE"""),"SDP1623 - Mammalogi dan Herpetologi")</f>
        <v>SDP1623 - Mammalogi dan Herpetologi</v>
      </c>
      <c r="B148" s="44">
        <v>147</v>
      </c>
      <c r="C148" s="35" t="str">
        <f t="shared" ca="1" si="5"/>
        <v>SDP1623</v>
      </c>
      <c r="D148" s="35" t="str">
        <f t="shared" ca="1" si="6"/>
        <v>Mammalogi dan Herpetologi</v>
      </c>
      <c r="E148" s="44">
        <f ca="1">IFERROR(VLOOKUP(A148,Mentah!D:J,7,FALSE),"")</f>
        <v>2</v>
      </c>
      <c r="F148" s="44" t="str">
        <f ca="1">IFERROR(VLOOKUP(A148,Mentah!D:K,8,FALSE),"")</f>
        <v>C251</v>
      </c>
      <c r="G148" s="35" t="str">
        <f t="shared" ca="1" si="2"/>
        <v>('SDP1623','Mammalogi dan Herpetologi','2','C251'),</v>
      </c>
    </row>
    <row r="149" spans="1:7" ht="12.5" x14ac:dyDescent="0.25">
      <c r="A149" s="9" t="str">
        <f ca="1">IFERROR(__xludf.DUMMYFUNCTION("""COMPUTED_VALUE"""),"SDP1502 - Pengelolan Sumberdaya Perairan dan Perikanan")</f>
        <v>SDP1502 - Pengelolan Sumberdaya Perairan dan Perikanan</v>
      </c>
      <c r="B149" s="44">
        <v>148</v>
      </c>
      <c r="C149" s="35" t="str">
        <f t="shared" ca="1" si="5"/>
        <v>SDP1502</v>
      </c>
      <c r="D149" s="35" t="str">
        <f t="shared" ca="1" si="6"/>
        <v>Pengelolan Sumberdaya Perairan dan Perikanan</v>
      </c>
      <c r="E149" s="44">
        <f ca="1">IFERROR(VLOOKUP(A149,Mentah!D:J,7,FALSE),"")</f>
        <v>2</v>
      </c>
      <c r="F149" s="44" t="str">
        <f ca="1">IFERROR(VLOOKUP(A149,Mentah!D:K,8,FALSE),"")</f>
        <v>C251</v>
      </c>
      <c r="G149" s="35" t="str">
        <f t="shared" ca="1" si="2"/>
        <v>('SDP1502','Pengelolan Sumberdaya Perairan dan Perikanan','2','C251'),</v>
      </c>
    </row>
    <row r="150" spans="1:7" ht="12.5" x14ac:dyDescent="0.25">
      <c r="A150" s="9" t="str">
        <f ca="1">IFERROR(__xludf.DUMMYFUNCTION("""COMPUTED_VALUE"""),"SDP1501 - Metode Penelitian")</f>
        <v>SDP1501 - Metode Penelitian</v>
      </c>
      <c r="B150" s="44">
        <v>149</v>
      </c>
      <c r="C150" s="35" t="str">
        <f t="shared" ca="1" si="5"/>
        <v>SDP1501</v>
      </c>
      <c r="D150" s="35" t="str">
        <f t="shared" ca="1" si="6"/>
        <v>Metode Penelitian</v>
      </c>
      <c r="E150" s="44">
        <f ca="1">IFERROR(VLOOKUP(A150,Mentah!D:J,7,FALSE),"")</f>
        <v>1</v>
      </c>
      <c r="F150" s="44" t="str">
        <f ca="1">IFERROR(VLOOKUP(A150,Mentah!D:K,8,FALSE),"")</f>
        <v>C251</v>
      </c>
      <c r="G150" s="35" t="str">
        <f t="shared" ca="1" si="2"/>
        <v>('SDP1501','Metode Penelitian','1','C251'),</v>
      </c>
    </row>
    <row r="151" spans="1:7" ht="12.5" x14ac:dyDescent="0.25">
      <c r="A151" s="9" t="str">
        <f ca="1">IFERROR(__xludf.DUMMYFUNCTION("""COMPUTED_VALUE"""),"SDP1512 - Produktivitas Perairan")</f>
        <v>SDP1512 - Produktivitas Perairan</v>
      </c>
      <c r="B151" s="44">
        <v>150</v>
      </c>
      <c r="C151" s="35" t="str">
        <f t="shared" ca="1" si="5"/>
        <v>SDP1512</v>
      </c>
      <c r="D151" s="35" t="str">
        <f t="shared" ca="1" si="6"/>
        <v>Produktivitas Perairan</v>
      </c>
      <c r="E151" s="44">
        <f ca="1">IFERROR(VLOOKUP(A151,Mentah!D:J,7,FALSE),"")</f>
        <v>2</v>
      </c>
      <c r="F151" s="44" t="str">
        <f ca="1">IFERROR(VLOOKUP(A151,Mentah!D:K,8,FALSE),"")</f>
        <v>C251</v>
      </c>
      <c r="G151" s="35" t="str">
        <f t="shared" ca="1" si="2"/>
        <v>('SDP1512','Produktivitas Perairan','2','C251'),</v>
      </c>
    </row>
    <row r="152" spans="1:7" ht="12.5" x14ac:dyDescent="0.25">
      <c r="A152" s="9" t="str">
        <f ca="1">IFERROR(__xludf.DUMMYFUNCTION("""COMPUTED_VALUE"""),"SDP1525 - Ekobiologi Larva Akuatik")</f>
        <v>SDP1525 - Ekobiologi Larva Akuatik</v>
      </c>
      <c r="B152" s="44">
        <v>151</v>
      </c>
      <c r="C152" s="35" t="str">
        <f t="shared" ca="1" si="5"/>
        <v>SDP1525</v>
      </c>
      <c r="D152" s="35" t="str">
        <f t="shared" ca="1" si="6"/>
        <v>Ekobiologi Larva Akuatik</v>
      </c>
      <c r="E152" s="44">
        <f ca="1">IFERROR(VLOOKUP(A152,Mentah!D:J,7,FALSE),"")</f>
        <v>2</v>
      </c>
      <c r="F152" s="44" t="str">
        <f ca="1">IFERROR(VLOOKUP(A152,Mentah!D:K,8,FALSE),"")</f>
        <v>C251</v>
      </c>
      <c r="G152" s="35" t="str">
        <f t="shared" ca="1" si="2"/>
        <v>('SDP1525','Ekobiologi Larva Akuatik','2','C251'),</v>
      </c>
    </row>
    <row r="153" spans="1:7" ht="12.5" x14ac:dyDescent="0.25">
      <c r="A153" s="9" t="str">
        <f ca="1">IFERROR(__xludf.DUMMYFUNCTION("""COMPUTED_VALUE"""),"SDP1636 - Genetika Populasi dan Molekuler")</f>
        <v>SDP1636 - Genetika Populasi dan Molekuler</v>
      </c>
      <c r="B153" s="44">
        <v>152</v>
      </c>
      <c r="C153" s="35" t="str">
        <f t="shared" ca="1" si="5"/>
        <v>SDP1636</v>
      </c>
      <c r="D153" s="35" t="str">
        <f t="shared" ca="1" si="6"/>
        <v>Genetika Populasi dan Molekuler</v>
      </c>
      <c r="E153" s="44">
        <f ca="1">IFERROR(VLOOKUP(A153,Mentah!D:J,7,FALSE),"")</f>
        <v>2</v>
      </c>
      <c r="F153" s="44" t="str">
        <f ca="1">IFERROR(VLOOKUP(A153,Mentah!D:K,8,FALSE),"")</f>
        <v>C251</v>
      </c>
      <c r="G153" s="35" t="str">
        <f t="shared" ca="1" si="2"/>
        <v>('SDP1636','Genetika Populasi dan Molekuler','2','C251'),</v>
      </c>
    </row>
    <row r="154" spans="1:7" ht="12.5" x14ac:dyDescent="0.25">
      <c r="A154" s="9" t="str">
        <f ca="1">IFERROR(__xludf.DUMMYFUNCTION("""COMPUTED_VALUE"""),"SDP1615 - Pengelolaan Danau dan Waduk")</f>
        <v>SDP1615 - Pengelolaan Danau dan Waduk</v>
      </c>
      <c r="B154" s="44">
        <v>153</v>
      </c>
      <c r="C154" s="35" t="str">
        <f t="shared" ca="1" si="5"/>
        <v>SDP1615</v>
      </c>
      <c r="D154" s="35" t="str">
        <f t="shared" ca="1" si="6"/>
        <v>Pengelolaan Danau dan Waduk</v>
      </c>
      <c r="E154" s="44">
        <f ca="1">IFERROR(VLOOKUP(A154,Mentah!D:J,7,FALSE),"")</f>
        <v>2</v>
      </c>
      <c r="F154" s="44" t="str">
        <f ca="1">IFERROR(VLOOKUP(A154,Mentah!D:K,8,FALSE),"")</f>
        <v>C251</v>
      </c>
      <c r="G154" s="35" t="str">
        <f t="shared" ca="1" si="2"/>
        <v>('SDP1615','Pengelolaan Danau dan Waduk','2','C251'),</v>
      </c>
    </row>
    <row r="155" spans="1:7" ht="12.5" x14ac:dyDescent="0.25">
      <c r="A155" s="9" t="str">
        <f ca="1">IFERROR(__xludf.DUMMYFUNCTION("""COMPUTED_VALUE"""),"SDP1621 - Ekotoksikologi Perairan Lanjutan")</f>
        <v>SDP1621 - Ekotoksikologi Perairan Lanjutan</v>
      </c>
      <c r="B155" s="44">
        <v>154</v>
      </c>
      <c r="C155" s="35" t="str">
        <f t="shared" ca="1" si="5"/>
        <v>SDP1621</v>
      </c>
      <c r="D155" s="35" t="str">
        <f t="shared" ca="1" si="6"/>
        <v>Ekotoksikologi Perairan Lanjutan</v>
      </c>
      <c r="E155" s="44">
        <f ca="1">IFERROR(VLOOKUP(A155,Mentah!D:J,7,FALSE),"")</f>
        <v>2</v>
      </c>
      <c r="F155" s="44" t="str">
        <f ca="1">IFERROR(VLOOKUP(A155,Mentah!D:K,8,FALSE),"")</f>
        <v>C251</v>
      </c>
      <c r="G155" s="35" t="str">
        <f t="shared" ca="1" si="2"/>
        <v>('SDP1621','Ekotoksikologi Perairan Lanjutan','2','C251'),</v>
      </c>
    </row>
    <row r="156" spans="1:7" ht="12.5" x14ac:dyDescent="0.25">
      <c r="A156" s="9" t="str">
        <f ca="1">IFERROR(__xludf.DUMMYFUNCTION("""COMPUTED_VALUE"""),"SDP1522 - Ekofisiologi Hewan Air")</f>
        <v>SDP1522 - Ekofisiologi Hewan Air</v>
      </c>
      <c r="B156" s="44">
        <v>155</v>
      </c>
      <c r="C156" s="35" t="str">
        <f t="shared" ca="1" si="5"/>
        <v>SDP1522</v>
      </c>
      <c r="D156" s="35" t="str">
        <f t="shared" ca="1" si="6"/>
        <v>Ekofisiologi Hewan Air</v>
      </c>
      <c r="E156" s="44">
        <f ca="1">IFERROR(VLOOKUP(A156,Mentah!D:J,7,FALSE),"")</f>
        <v>1</v>
      </c>
      <c r="F156" s="44" t="str">
        <f ca="1">IFERROR(VLOOKUP(A156,Mentah!D:K,8,FALSE),"")</f>
        <v>C251</v>
      </c>
      <c r="G156" s="35" t="str">
        <f t="shared" ca="1" si="2"/>
        <v>('SDP1522','Ekofisiologi Hewan Air','1','C251'),</v>
      </c>
    </row>
    <row r="157" spans="1:7" ht="12.5" x14ac:dyDescent="0.25">
      <c r="A157" s="9" t="str">
        <f ca="1">IFERROR(__xludf.DUMMYFUNCTION("""COMPUTED_VALUE"""),"SDP1513 - Eutrofikasi Perairan")</f>
        <v>SDP1513 - Eutrofikasi Perairan</v>
      </c>
      <c r="B157" s="44">
        <v>156</v>
      </c>
      <c r="C157" s="35" t="str">
        <f t="shared" ca="1" si="5"/>
        <v>SDP1513</v>
      </c>
      <c r="D157" s="35" t="str">
        <f t="shared" ca="1" si="6"/>
        <v>Eutrofikasi Perairan</v>
      </c>
      <c r="E157" s="44">
        <f ca="1">IFERROR(VLOOKUP(A157,Mentah!D:J,7,FALSE),"")</f>
        <v>2</v>
      </c>
      <c r="F157" s="44" t="str">
        <f ca="1">IFERROR(VLOOKUP(A157,Mentah!D:K,8,FALSE),"")</f>
        <v>C251</v>
      </c>
      <c r="G157" s="35" t="str">
        <f t="shared" ca="1" si="2"/>
        <v>('SDP1513','Eutrofikasi Perairan','2','C251'),</v>
      </c>
    </row>
    <row r="158" spans="1:7" ht="12.5" x14ac:dyDescent="0.25">
      <c r="A158" s="9" t="str">
        <f ca="1">IFERROR(__xludf.DUMMYFUNCTION("""COMPUTED_VALUE"""),"SDP1622 - Ekofisiologi Hewan Air Lanjutan")</f>
        <v>SDP1622 - Ekofisiologi Hewan Air Lanjutan</v>
      </c>
      <c r="B158" s="44">
        <v>157</v>
      </c>
      <c r="C158" s="35" t="str">
        <f t="shared" ca="1" si="5"/>
        <v>SDP1622</v>
      </c>
      <c r="D158" s="35" t="str">
        <f t="shared" ca="1" si="6"/>
        <v>Ekofisiologi Hewan Air Lanjutan</v>
      </c>
      <c r="E158" s="44">
        <f ca="1">IFERROR(VLOOKUP(A158,Mentah!D:J,7,FALSE),"")</f>
        <v>2</v>
      </c>
      <c r="F158" s="44" t="str">
        <f ca="1">IFERROR(VLOOKUP(A158,Mentah!D:K,8,FALSE),"")</f>
        <v>C251</v>
      </c>
      <c r="G158" s="35" t="str">
        <f t="shared" ca="1" si="2"/>
        <v>('SDP1622','Ekofisiologi Hewan Air Lanjutan','2','C251'),</v>
      </c>
    </row>
    <row r="159" spans="1:7" ht="12.5" x14ac:dyDescent="0.25">
      <c r="A159" s="9" t="str">
        <f ca="1">IFERROR(__xludf.DUMMYFUNCTION("""COMPUTED_VALUE"""),"SDP1628 - Konservasi Sumberdaya Ikan")</f>
        <v>SDP1628 - Konservasi Sumberdaya Ikan</v>
      </c>
      <c r="B159" s="44">
        <v>158</v>
      </c>
      <c r="C159" s="35" t="str">
        <f t="shared" ca="1" si="5"/>
        <v>SDP1628</v>
      </c>
      <c r="D159" s="35" t="str">
        <f t="shared" ca="1" si="6"/>
        <v>Konservasi Sumberdaya Ikan</v>
      </c>
      <c r="E159" s="44">
        <f ca="1">IFERROR(VLOOKUP(A159,Mentah!D:J,7,FALSE),"")</f>
        <v>2</v>
      </c>
      <c r="F159" s="44" t="str">
        <f ca="1">IFERROR(VLOOKUP(A159,Mentah!D:K,8,FALSE),"")</f>
        <v>C251</v>
      </c>
      <c r="G159" s="35" t="str">
        <f t="shared" ca="1" si="2"/>
        <v>('SDP1628','Konservasi Sumberdaya Ikan','2','C251'),</v>
      </c>
    </row>
    <row r="160" spans="1:7" ht="12.5" x14ac:dyDescent="0.25">
      <c r="A160" s="9" t="str">
        <f ca="1">IFERROR(__xludf.DUMMYFUNCTION("""COMPUTED_VALUE"""),"SDP1631 - Model dan Simulasi Perikanan")</f>
        <v>SDP1631 - Model dan Simulasi Perikanan</v>
      </c>
      <c r="B160" s="44">
        <v>159</v>
      </c>
      <c r="C160" s="35" t="str">
        <f t="shared" ca="1" si="5"/>
        <v>SDP1631</v>
      </c>
      <c r="D160" s="35" t="str">
        <f t="shared" ca="1" si="6"/>
        <v>Model dan Simulasi Perikanan</v>
      </c>
      <c r="E160" s="44">
        <f ca="1">IFERROR(VLOOKUP(A160,Mentah!D:J,7,FALSE),"")</f>
        <v>2</v>
      </c>
      <c r="F160" s="44" t="str">
        <f ca="1">IFERROR(VLOOKUP(A160,Mentah!D:K,8,FALSE),"")</f>
        <v>C251</v>
      </c>
      <c r="G160" s="35" t="str">
        <f t="shared" ca="1" si="2"/>
        <v>('SDP1631','Model dan Simulasi Perikanan','2','C251'),</v>
      </c>
    </row>
    <row r="161" spans="1:7" ht="12.5" x14ac:dyDescent="0.25">
      <c r="A161" s="9" t="str">
        <f ca="1">IFERROR(__xludf.DUMMYFUNCTION("""COMPUTED_VALUE"""),"SDP1527 - Konservasi Mamalia dan Herpetofauna")</f>
        <v>SDP1527 - Konservasi Mamalia dan Herpetofauna</v>
      </c>
      <c r="B161" s="44">
        <v>160</v>
      </c>
      <c r="C161" s="35" t="str">
        <f t="shared" ca="1" si="5"/>
        <v>SDP1527</v>
      </c>
      <c r="D161" s="35" t="str">
        <f t="shared" ca="1" si="6"/>
        <v>Konservasi Mamalia dan Herpetofauna</v>
      </c>
      <c r="E161" s="44">
        <f ca="1">IFERROR(VLOOKUP(A161,Mentah!D:J,7,FALSE),"")</f>
        <v>2</v>
      </c>
      <c r="F161" s="44" t="str">
        <f ca="1">IFERROR(VLOOKUP(A161,Mentah!D:K,8,FALSE),"")</f>
        <v>C251</v>
      </c>
      <c r="G161" s="35" t="str">
        <f t="shared" ca="1" si="2"/>
        <v>('SDP1527','Konservasi Mamalia dan Herpetofauna','2','C251'),</v>
      </c>
    </row>
    <row r="162" spans="1:7" ht="12.5" x14ac:dyDescent="0.25">
      <c r="A162" s="9" t="str">
        <f ca="1">IFERROR(__xludf.DUMMYFUNCTION("""COMPUTED_VALUE"""),"SDP1503 - Dinamika Populasi dan Ekosistem Perairan")</f>
        <v>SDP1503 - Dinamika Populasi dan Ekosistem Perairan</v>
      </c>
      <c r="B162" s="44">
        <v>161</v>
      </c>
      <c r="C162" s="35" t="str">
        <f t="shared" ca="1" si="5"/>
        <v>SDP1503</v>
      </c>
      <c r="D162" s="35" t="str">
        <f t="shared" ca="1" si="6"/>
        <v>Dinamika Populasi dan Ekosistem Perairan</v>
      </c>
      <c r="E162" s="44">
        <f ca="1">IFERROR(VLOOKUP(A162,Mentah!D:J,7,FALSE),"")</f>
        <v>1</v>
      </c>
      <c r="F162" s="44" t="str">
        <f ca="1">IFERROR(VLOOKUP(A162,Mentah!D:K,8,FALSE),"")</f>
        <v>C251</v>
      </c>
      <c r="G162" s="35" t="str">
        <f t="shared" ca="1" si="2"/>
        <v>('SDP1503','Dinamika Populasi dan Ekosistem Perairan','1','C251'),</v>
      </c>
    </row>
    <row r="163" spans="1:7" ht="12.5" x14ac:dyDescent="0.25">
      <c r="A163" s="9" t="str">
        <f ca="1">IFERROR(__xludf.DUMMYFUNCTION("""COMPUTED_VALUE"""),"SDP1633 - Pengkajian Stok Ikan")</f>
        <v>SDP1633 - Pengkajian Stok Ikan</v>
      </c>
      <c r="B163" s="44">
        <v>162</v>
      </c>
      <c r="C163" s="35" t="str">
        <f t="shared" ca="1" si="5"/>
        <v>SDP1633</v>
      </c>
      <c r="D163" s="35" t="str">
        <f t="shared" ca="1" si="6"/>
        <v>Pengkajian Stok Ikan</v>
      </c>
      <c r="E163" s="44">
        <f ca="1">IFERROR(VLOOKUP(A163,Mentah!D:J,7,FALSE),"")</f>
        <v>2</v>
      </c>
      <c r="F163" s="44" t="str">
        <f ca="1">IFERROR(VLOOKUP(A163,Mentah!D:K,8,FALSE),"")</f>
        <v>C251</v>
      </c>
      <c r="G163" s="35" t="str">
        <f t="shared" ca="1" si="2"/>
        <v>('SDP1633','Pengkajian Stok Ikan','2','C251'),</v>
      </c>
    </row>
    <row r="164" spans="1:7" ht="12.5" x14ac:dyDescent="0.25">
      <c r="A164" s="9" t="str">
        <f ca="1">IFERROR(__xludf.DUMMYFUNCTION("""COMPUTED_VALUE"""),"SDP1514 - Pengelolan Pencemaran Perairan")</f>
        <v>SDP1514 - Pengelolan Pencemaran Perairan</v>
      </c>
      <c r="B164" s="44">
        <v>163</v>
      </c>
      <c r="C164" s="35" t="str">
        <f t="shared" ca="1" si="5"/>
        <v>SDP1514</v>
      </c>
      <c r="D164" s="35" t="str">
        <f t="shared" ca="1" si="6"/>
        <v>Pengelolan Pencemaran Perairan</v>
      </c>
      <c r="E164" s="44">
        <f ca="1">IFERROR(VLOOKUP(A164,Mentah!D:J,7,FALSE),"")</f>
        <v>2</v>
      </c>
      <c r="F164" s="44" t="str">
        <f ca="1">IFERROR(VLOOKUP(A164,Mentah!D:K,8,FALSE),"")</f>
        <v>C251</v>
      </c>
      <c r="G164" s="35" t="str">
        <f t="shared" ca="1" si="2"/>
        <v>('SDP1514','Pengelolan Pencemaran Perairan','2','C251'),</v>
      </c>
    </row>
    <row r="165" spans="1:7" ht="12.5" x14ac:dyDescent="0.25">
      <c r="A165" s="9" t="str">
        <f ca="1">IFERROR(__xludf.DUMMYFUNCTION("""COMPUTED_VALUE"""),"SDP1611 - Benthologi")</f>
        <v>SDP1611 - Benthologi</v>
      </c>
      <c r="B165" s="44">
        <v>164</v>
      </c>
      <c r="C165" s="35" t="str">
        <f t="shared" ca="1" si="5"/>
        <v>SDP1611</v>
      </c>
      <c r="D165" s="35" t="str">
        <f t="shared" ca="1" si="6"/>
        <v>Benthologi</v>
      </c>
      <c r="E165" s="44">
        <f ca="1">IFERROR(VLOOKUP(A165,Mentah!D:J,7,FALSE),"")</f>
        <v>2</v>
      </c>
      <c r="F165" s="44" t="str">
        <f ca="1">IFERROR(VLOOKUP(A165,Mentah!D:K,8,FALSE),"")</f>
        <v>C251</v>
      </c>
      <c r="G165" s="35" t="str">
        <f t="shared" ca="1" si="2"/>
        <v>('SDP1611','Benthologi','2','C251'),</v>
      </c>
    </row>
    <row r="166" spans="1:7" ht="12.5" x14ac:dyDescent="0.25">
      <c r="A166" s="9" t="str">
        <f ca="1">IFERROR(__xludf.DUMMYFUNCTION("""COMPUTED_VALUE"""),"SPL1613 - Perencanaan Spasial Pesisir dan Laut")</f>
        <v>SPL1613 - Perencanaan Spasial Pesisir dan Laut</v>
      </c>
      <c r="B166" s="44">
        <v>165</v>
      </c>
      <c r="C166" s="35" t="str">
        <f t="shared" ca="1" si="5"/>
        <v>SPL1613</v>
      </c>
      <c r="D166" s="35" t="str">
        <f t="shared" ca="1" si="6"/>
        <v>Perencanaan Spasial Pesisir dan Laut</v>
      </c>
      <c r="E166" s="44">
        <f ca="1">IFERROR(VLOOKUP(A166,Mentah!D:J,7,FALSE),"")</f>
        <v>2</v>
      </c>
      <c r="F166" s="44" t="str">
        <f ca="1">IFERROR(VLOOKUP(A166,Mentah!D:K,8,FALSE),"")</f>
        <v>C252</v>
      </c>
      <c r="G166" s="35" t="str">
        <f t="shared" ca="1" si="2"/>
        <v>('SPL1613','Perencanaan Spasial Pesisir dan Laut','2','C252'),</v>
      </c>
    </row>
    <row r="167" spans="1:7" ht="12.5" x14ac:dyDescent="0.25">
      <c r="A167" s="9" t="str">
        <f ca="1">IFERROR(__xludf.DUMMYFUNCTION("""COMPUTED_VALUE"""),"SPL1637 - Pengelolaan Pulau-Pulau Kecil")</f>
        <v>SPL1637 - Pengelolaan Pulau-Pulau Kecil</v>
      </c>
      <c r="B167" s="44">
        <v>166</v>
      </c>
      <c r="C167" s="35" t="str">
        <f t="shared" ca="1" si="5"/>
        <v>SPL1637</v>
      </c>
      <c r="D167" s="35" t="str">
        <f t="shared" ca="1" si="6"/>
        <v>Pengelolaan Pulau-Pulau Kecil</v>
      </c>
      <c r="E167" s="44">
        <f ca="1">IFERROR(VLOOKUP(A167,Mentah!D:J,7,FALSE),"")</f>
        <v>2</v>
      </c>
      <c r="F167" s="44" t="str">
        <f ca="1">IFERROR(VLOOKUP(A167,Mentah!D:K,8,FALSE),"")</f>
        <v>C252</v>
      </c>
      <c r="G167" s="35" t="str">
        <f t="shared" ca="1" si="2"/>
        <v>('SPL1637','Pengelolaan Pulau-Pulau Kecil','2','C252'),</v>
      </c>
    </row>
    <row r="168" spans="1:7" ht="12.5" x14ac:dyDescent="0.25">
      <c r="A168" s="9" t="str">
        <f ca="1">IFERROR(__xludf.DUMMYFUNCTION("""COMPUTED_VALUE"""),"SPL1621 - Sistem Ekologi Pesisir dan Laut")</f>
        <v>SPL1621 - Sistem Ekologi Pesisir dan Laut</v>
      </c>
      <c r="B168" s="44">
        <v>167</v>
      </c>
      <c r="C168" s="35" t="str">
        <f t="shared" ca="1" si="5"/>
        <v>SPL1621</v>
      </c>
      <c r="D168" s="35" t="str">
        <f t="shared" ca="1" si="6"/>
        <v>Sistem Ekologi Pesisir dan Laut</v>
      </c>
      <c r="E168" s="44">
        <f ca="1">IFERROR(VLOOKUP(A168,Mentah!D:J,7,FALSE),"")</f>
        <v>1</v>
      </c>
      <c r="F168" s="44" t="str">
        <f ca="1">IFERROR(VLOOKUP(A168,Mentah!D:K,8,FALSE),"")</f>
        <v>C252</v>
      </c>
      <c r="G168" s="35" t="str">
        <f t="shared" ca="1" si="2"/>
        <v>('SPL1621','Sistem Ekologi Pesisir dan Laut','1','C252'),</v>
      </c>
    </row>
    <row r="169" spans="1:7" ht="12.5" x14ac:dyDescent="0.25">
      <c r="A169" s="9" t="str">
        <f ca="1">IFERROR(__xludf.DUMMYFUNCTION("""COMPUTED_VALUE"""),"SPL1638 - Sistem Sosial-Ekologi Sumberdaya Pesisir dan Laut")</f>
        <v>SPL1638 - Sistem Sosial-Ekologi Sumberdaya Pesisir dan Laut</v>
      </c>
      <c r="B169" s="44">
        <v>168</v>
      </c>
      <c r="C169" s="35" t="str">
        <f t="shared" ca="1" si="5"/>
        <v>SPL1638</v>
      </c>
      <c r="D169" s="35" t="str">
        <f t="shared" ca="1" si="6"/>
        <v>Sistem Sosial-Ekologi Sumberdaya Pesisir dan Laut</v>
      </c>
      <c r="E169" s="44">
        <f ca="1">IFERROR(VLOOKUP(A169,Mentah!D:J,7,FALSE),"")</f>
        <v>2</v>
      </c>
      <c r="F169" s="44" t="str">
        <f ca="1">IFERROR(VLOOKUP(A169,Mentah!D:K,8,FALSE),"")</f>
        <v>C252</v>
      </c>
      <c r="G169" s="35" t="str">
        <f t="shared" ca="1" si="2"/>
        <v>('SPL1638','Sistem Sosial-Ekologi Sumberdaya Pesisir dan Laut','2','C252'),</v>
      </c>
    </row>
    <row r="170" spans="1:7" ht="12.5" x14ac:dyDescent="0.25">
      <c r="A170" s="9" t="str">
        <f ca="1">IFERROR(__xludf.DUMMYFUNCTION("""COMPUTED_VALUE"""),"SPL1624 - Pengelolaan Kawasan Teluk")</f>
        <v>SPL1624 - Pengelolaan Kawasan Teluk</v>
      </c>
      <c r="B170" s="44">
        <v>169</v>
      </c>
      <c r="C170" s="35" t="str">
        <f t="shared" ca="1" si="5"/>
        <v>SPL1624</v>
      </c>
      <c r="D170" s="35" t="str">
        <f t="shared" ca="1" si="6"/>
        <v>Pengelolaan Kawasan Teluk</v>
      </c>
      <c r="E170" s="44">
        <f ca="1">IFERROR(VLOOKUP(A170,Mentah!D:J,7,FALSE),"")</f>
        <v>2</v>
      </c>
      <c r="F170" s="44" t="str">
        <f ca="1">IFERROR(VLOOKUP(A170,Mentah!D:K,8,FALSE),"")</f>
        <v>C252</v>
      </c>
      <c r="G170" s="35" t="str">
        <f t="shared" ca="1" si="2"/>
        <v>('SPL1624','Pengelolaan Kawasan Teluk','2','C252'),</v>
      </c>
    </row>
    <row r="171" spans="1:7" ht="12.5" x14ac:dyDescent="0.25">
      <c r="A171" s="9" t="str">
        <f ca="1">IFERROR(__xludf.DUMMYFUNCTION("""COMPUTED_VALUE"""),"SPL1611 - Pencemaran Pesisir dan Laut")</f>
        <v>SPL1611 - Pencemaran Pesisir dan Laut</v>
      </c>
      <c r="B171" s="44">
        <v>170</v>
      </c>
      <c r="C171" s="35" t="str">
        <f t="shared" ca="1" si="5"/>
        <v>SPL1611</v>
      </c>
      <c r="D171" s="35" t="str">
        <f t="shared" ca="1" si="6"/>
        <v>Pencemaran Pesisir dan Laut</v>
      </c>
      <c r="E171" s="44">
        <f ca="1">IFERROR(VLOOKUP(A171,Mentah!D:J,7,FALSE),"")</f>
        <v>2</v>
      </c>
      <c r="F171" s="44" t="str">
        <f ca="1">IFERROR(VLOOKUP(A171,Mentah!D:K,8,FALSE),"")</f>
        <v>C252</v>
      </c>
      <c r="G171" s="35" t="str">
        <f t="shared" ca="1" si="2"/>
        <v>('SPL1611','Pencemaran Pesisir dan Laut','2','C252'),</v>
      </c>
    </row>
    <row r="172" spans="1:7" ht="12.5" x14ac:dyDescent="0.25">
      <c r="A172" s="9" t="str">
        <f ca="1">IFERROR(__xludf.DUMMYFUNCTION("""COMPUTED_VALUE"""),"SPL1501 - Metode Penelitian Sumberdaya Pesisir dan Lautan")</f>
        <v>SPL1501 - Metode Penelitian Sumberdaya Pesisir dan Lautan</v>
      </c>
      <c r="B172" s="44">
        <v>171</v>
      </c>
      <c r="C172" s="35" t="str">
        <f t="shared" ca="1" si="5"/>
        <v>SPL1501</v>
      </c>
      <c r="D172" s="35" t="str">
        <f t="shared" ca="1" si="6"/>
        <v>Metode Penelitian Sumberdaya Pesisir dan Lautan</v>
      </c>
      <c r="E172" s="44">
        <f ca="1">IFERROR(VLOOKUP(A172,Mentah!D:J,7,FALSE),"")</f>
        <v>1</v>
      </c>
      <c r="F172" s="44" t="str">
        <f ca="1">IFERROR(VLOOKUP(A172,Mentah!D:K,8,FALSE),"")</f>
        <v>C252</v>
      </c>
      <c r="G172" s="35" t="str">
        <f t="shared" ca="1" si="2"/>
        <v>('SPL1501','Metode Penelitian Sumberdaya Pesisir dan Lautan','1','C252'),</v>
      </c>
    </row>
    <row r="173" spans="1:7" ht="12.5" x14ac:dyDescent="0.25">
      <c r="A173" s="9" t="str">
        <f ca="1">IFERROR(__xludf.DUMMYFUNCTION("""COMPUTED_VALUE"""),"SPL1612 - Resiko, Kerentanan, dan Risiliensi Pesisir dan Laut")</f>
        <v>SPL1612 - Resiko, Kerentanan, dan Risiliensi Pesisir dan Laut</v>
      </c>
      <c r="B173" s="44">
        <v>172</v>
      </c>
      <c r="C173" s="35" t="str">
        <f t="shared" ca="1" si="5"/>
        <v>SPL1612</v>
      </c>
      <c r="D173" s="35" t="str">
        <f t="shared" ca="1" si="6"/>
        <v>Resiko, Kerentanan, dan Risiliensi Pesisir dan Laut</v>
      </c>
      <c r="E173" s="44">
        <f ca="1">IFERROR(VLOOKUP(A173,Mentah!D:J,7,FALSE),"")</f>
        <v>2</v>
      </c>
      <c r="F173" s="44" t="str">
        <f ca="1">IFERROR(VLOOKUP(A173,Mentah!D:K,8,FALSE),"")</f>
        <v>C252</v>
      </c>
      <c r="G173" s="35" t="str">
        <f t="shared" ca="1" si="2"/>
        <v>('SPL1612','Resiko, Kerentanan, dan Risiliensi Pesisir dan Laut','2','C252'),</v>
      </c>
    </row>
    <row r="174" spans="1:7" ht="12.5" x14ac:dyDescent="0.25">
      <c r="A174" s="9" t="str">
        <f ca="1">IFERROR(__xludf.DUMMYFUNCTION("""COMPUTED_VALUE"""),"SPL1639 - Analisis Sistem dan Pemodelan Sumberdaya Pesisir dan Lautan")</f>
        <v>SPL1639 - Analisis Sistem dan Pemodelan Sumberdaya Pesisir dan Lautan</v>
      </c>
      <c r="B174" s="44">
        <v>173</v>
      </c>
      <c r="C174" s="35" t="str">
        <f t="shared" ca="1" si="5"/>
        <v>SPL1639</v>
      </c>
      <c r="D174" s="35" t="str">
        <f t="shared" ca="1" si="6"/>
        <v>Analisis Sistem dan Pemodelan Sumberdaya Pesisir dan Lautan</v>
      </c>
      <c r="E174" s="44">
        <f ca="1">IFERROR(VLOOKUP(A174,Mentah!D:J,7,FALSE),"")</f>
        <v>2</v>
      </c>
      <c r="F174" s="44" t="str">
        <f ca="1">IFERROR(VLOOKUP(A174,Mentah!D:K,8,FALSE),"")</f>
        <v>C252</v>
      </c>
      <c r="G174" s="35" t="str">
        <f t="shared" ca="1" si="2"/>
        <v>('SPL1639','Analisis Sistem dan Pemodelan Sumberdaya Pesisir dan Lautan','2','C252'),</v>
      </c>
    </row>
    <row r="175" spans="1:7" ht="12.5" x14ac:dyDescent="0.25">
      <c r="A175" s="9" t="str">
        <f ca="1">IFERROR(__xludf.DUMMYFUNCTION("""COMPUTED_VALUE"""),"SPL1636 - Kebijakan Pengelolaan Pesisir dan Laut")</f>
        <v>SPL1636 - Kebijakan Pengelolaan Pesisir dan Laut</v>
      </c>
      <c r="B175" s="44">
        <v>174</v>
      </c>
      <c r="C175" s="35" t="str">
        <f t="shared" ca="1" si="5"/>
        <v>SPL1636</v>
      </c>
      <c r="D175" s="35" t="str">
        <f t="shared" ca="1" si="6"/>
        <v>Kebijakan Pengelolaan Pesisir dan Laut</v>
      </c>
      <c r="E175" s="44">
        <f ca="1">IFERROR(VLOOKUP(A175,Mentah!D:J,7,FALSE),"")</f>
        <v>2</v>
      </c>
      <c r="F175" s="44" t="str">
        <f ca="1">IFERROR(VLOOKUP(A175,Mentah!D:K,8,FALSE),"")</f>
        <v>C252</v>
      </c>
      <c r="G175" s="35" t="str">
        <f t="shared" ca="1" si="2"/>
        <v>('SPL1636','Kebijakan Pengelolaan Pesisir dan Laut','2','C252'),</v>
      </c>
    </row>
    <row r="176" spans="1:7" ht="12.5" x14ac:dyDescent="0.25">
      <c r="A176" s="9" t="str">
        <f ca="1">IFERROR(__xludf.DUMMYFUNCTION("""COMPUTED_VALUE"""),"SPL1631 - Pengelolaan Terpadu Sumberdaya Pesisir dan Lautan")</f>
        <v>SPL1631 - Pengelolaan Terpadu Sumberdaya Pesisir dan Lautan</v>
      </c>
      <c r="B176" s="44">
        <v>175</v>
      </c>
      <c r="C176" s="35" t="str">
        <f t="shared" ca="1" si="5"/>
        <v>SPL1631</v>
      </c>
      <c r="D176" s="35" t="str">
        <f t="shared" ca="1" si="6"/>
        <v>Pengelolaan Terpadu Sumberdaya Pesisir dan Lautan</v>
      </c>
      <c r="E176" s="44">
        <f ca="1">IFERROR(VLOOKUP(A176,Mentah!D:J,7,FALSE),"")</f>
        <v>1</v>
      </c>
      <c r="F176" s="44" t="str">
        <f ca="1">IFERROR(VLOOKUP(A176,Mentah!D:K,8,FALSE),"")</f>
        <v>C252</v>
      </c>
      <c r="G176" s="35" t="str">
        <f t="shared" ca="1" si="2"/>
        <v>('SPL1631','Pengelolaan Terpadu Sumberdaya Pesisir dan Lautan','1','C252'),</v>
      </c>
    </row>
    <row r="177" spans="1:7" ht="12.5" x14ac:dyDescent="0.25">
      <c r="A177" s="9" t="str">
        <f ca="1">IFERROR(__xludf.DUMMYFUNCTION("""COMPUTED_VALUE"""),"STA1512 - Statistika untuk Ilmu-ilmu Pertanian dan Biologi")</f>
        <v>STA1512 - Statistika untuk Ilmu-ilmu Pertanian dan Biologi</v>
      </c>
      <c r="B177" s="44">
        <v>176</v>
      </c>
      <c r="C177" s="35" t="str">
        <f t="shared" ca="1" si="5"/>
        <v>STA1512</v>
      </c>
      <c r="D177" s="35" t="str">
        <f t="shared" ca="1" si="6"/>
        <v>Statistika untuk Ilmu-ilmu Pertanian dan Biologi</v>
      </c>
      <c r="E177" s="44">
        <f ca="1">IFERROR(VLOOKUP(A177,Mentah!D:J,7,FALSE),"")</f>
        <v>2</v>
      </c>
      <c r="F177" s="44" t="str">
        <f ca="1">IFERROR(VLOOKUP(A177,Mentah!D:K,8,FALSE),"")</f>
        <v>C252</v>
      </c>
      <c r="G177" s="35" t="str">
        <f t="shared" ca="1" si="2"/>
        <v>('STA1512','Statistika untuk Ilmu-ilmu Pertanian dan Biologi','2','C252'),</v>
      </c>
    </row>
    <row r="178" spans="1:7" ht="12.5" x14ac:dyDescent="0.25">
      <c r="A178" s="9" t="str">
        <f ca="1">IFERROR(__xludf.DUMMYFUNCTION("""COMPUTED_VALUE"""),"SPL163A - Interaksi Multifaktor")</f>
        <v>SPL163A - Interaksi Multifaktor</v>
      </c>
      <c r="B178" s="44">
        <v>177</v>
      </c>
      <c r="C178" s="35" t="str">
        <f t="shared" ca="1" si="5"/>
        <v>SPL163A</v>
      </c>
      <c r="D178" s="35" t="str">
        <f t="shared" ca="1" si="6"/>
        <v>Interaksi Multifaktor</v>
      </c>
      <c r="E178" s="44">
        <f ca="1">IFERROR(VLOOKUP(A178,Mentah!D:J,7,FALSE),"")</f>
        <v>2</v>
      </c>
      <c r="F178" s="44" t="str">
        <f ca="1">IFERROR(VLOOKUP(A178,Mentah!D:K,8,FALSE),"")</f>
        <v>C252</v>
      </c>
      <c r="G178" s="35" t="str">
        <f t="shared" ca="1" si="2"/>
        <v>('SPL163A','Interaksi Multifaktor','2','C252'),</v>
      </c>
    </row>
    <row r="179" spans="1:7" ht="12.5" x14ac:dyDescent="0.25">
      <c r="A179" s="9" t="str">
        <f ca="1">IFERROR(__xludf.DUMMYFUNCTION("""COMPUTED_VALUE"""),"SPL1632 - Jasa dan Valuasi Ekosistem Pesisir dan Laut")</f>
        <v>SPL1632 - Jasa dan Valuasi Ekosistem Pesisir dan Laut</v>
      </c>
      <c r="B179" s="44">
        <v>178</v>
      </c>
      <c r="C179" s="35" t="str">
        <f t="shared" ca="1" si="5"/>
        <v>SPL1632</v>
      </c>
      <c r="D179" s="35" t="str">
        <f t="shared" ca="1" si="6"/>
        <v>Jasa dan Valuasi Ekosistem Pesisir dan Laut</v>
      </c>
      <c r="E179" s="44">
        <f ca="1">IFERROR(VLOOKUP(A179,Mentah!D:J,7,FALSE),"")</f>
        <v>1</v>
      </c>
      <c r="F179" s="44" t="str">
        <f ca="1">IFERROR(VLOOKUP(A179,Mentah!D:K,8,FALSE),"")</f>
        <v>C252</v>
      </c>
      <c r="G179" s="35" t="str">
        <f t="shared" ca="1" si="2"/>
        <v>('SPL1632','Jasa dan Valuasi Ekosistem Pesisir dan Laut','1','C252'),</v>
      </c>
    </row>
    <row r="180" spans="1:7" ht="12.5" x14ac:dyDescent="0.25">
      <c r="A180" s="9" t="str">
        <f ca="1">IFERROR(__xludf.DUMMYFUNCTION("""COMPUTED_VALUE"""),"SPL1614 - Pendayagunaan Pesisir dan Laut")</f>
        <v>SPL1614 - Pendayagunaan Pesisir dan Laut</v>
      </c>
      <c r="B180" s="44">
        <v>179</v>
      </c>
      <c r="C180" s="35" t="str">
        <f t="shared" ca="1" si="5"/>
        <v>SPL1614</v>
      </c>
      <c r="D180" s="35" t="str">
        <f t="shared" ca="1" si="6"/>
        <v>Pendayagunaan Pesisir dan Laut</v>
      </c>
      <c r="E180" s="44">
        <f ca="1">IFERROR(VLOOKUP(A180,Mentah!D:J,7,FALSE),"")</f>
        <v>2</v>
      </c>
      <c r="F180" s="44" t="str">
        <f ca="1">IFERROR(VLOOKUP(A180,Mentah!D:K,8,FALSE),"")</f>
        <v>C252</v>
      </c>
      <c r="G180" s="35" t="str">
        <f t="shared" ca="1" si="2"/>
        <v>('SPL1614','Pendayagunaan Pesisir dan Laut','2','C252'),</v>
      </c>
    </row>
    <row r="181" spans="1:7" ht="12.5" x14ac:dyDescent="0.25">
      <c r="A181" s="9" t="str">
        <f ca="1">IFERROR(__xludf.DUMMYFUNCTION("""COMPUTED_VALUE"""),"SPL1634 - Optimasi Pengelolaan Sumberdaya Pesisir dan Laut")</f>
        <v>SPL1634 - Optimasi Pengelolaan Sumberdaya Pesisir dan Laut</v>
      </c>
      <c r="B181" s="44">
        <v>180</v>
      </c>
      <c r="C181" s="35" t="str">
        <f t="shared" ca="1" si="5"/>
        <v>SPL1634</v>
      </c>
      <c r="D181" s="35" t="str">
        <f t="shared" ca="1" si="6"/>
        <v>Optimasi Pengelolaan Sumberdaya Pesisir dan Laut</v>
      </c>
      <c r="E181" s="44">
        <f ca="1">IFERROR(VLOOKUP(A181,Mentah!D:J,7,FALSE),"")</f>
        <v>2</v>
      </c>
      <c r="F181" s="44" t="str">
        <f ca="1">IFERROR(VLOOKUP(A181,Mentah!D:K,8,FALSE),"")</f>
        <v>C252</v>
      </c>
      <c r="G181" s="35" t="str">
        <f t="shared" ca="1" si="2"/>
        <v>('SPL1634','Optimasi Pengelolaan Sumberdaya Pesisir dan Laut','2','C252'),</v>
      </c>
    </row>
    <row r="182" spans="1:7" ht="12.5" x14ac:dyDescent="0.25">
      <c r="A182" s="9" t="str">
        <f ca="1">IFERROR(__xludf.DUMMYFUNCTION("""COMPUTED_VALUE"""),"SPL1635 - Pengelolaan Perikanan dengan Pendekatan Ekosistem")</f>
        <v>SPL1635 - Pengelolaan Perikanan dengan Pendekatan Ekosistem</v>
      </c>
      <c r="B182" s="44">
        <v>181</v>
      </c>
      <c r="C182" s="35" t="str">
        <f t="shared" ca="1" si="5"/>
        <v>SPL1635</v>
      </c>
      <c r="D182" s="35" t="str">
        <f t="shared" ca="1" si="6"/>
        <v>Pengelolaan Perikanan dengan Pendekatan Ekosistem</v>
      </c>
      <c r="E182" s="44">
        <f ca="1">IFERROR(VLOOKUP(A182,Mentah!D:J,7,FALSE),"")</f>
        <v>2</v>
      </c>
      <c r="F182" s="44" t="str">
        <f ca="1">IFERROR(VLOOKUP(A182,Mentah!D:K,8,FALSE),"")</f>
        <v>C252</v>
      </c>
      <c r="G182" s="35" t="str">
        <f t="shared" ca="1" si="2"/>
        <v>('SPL1635','Pengelolaan Perikanan dengan Pendekatan Ekosistem','2','C252'),</v>
      </c>
    </row>
    <row r="183" spans="1:7" ht="12.5" x14ac:dyDescent="0.25">
      <c r="A183" s="9" t="str">
        <f ca="1">IFERROR(__xludf.DUMMYFUNCTION("""COMPUTED_VALUE"""),"SPL1622 - Konservasi Pesisir dan Laut")</f>
        <v>SPL1622 - Konservasi Pesisir dan Laut</v>
      </c>
      <c r="B183" s="44">
        <v>182</v>
      </c>
      <c r="C183" s="35" t="str">
        <f t="shared" ca="1" si="5"/>
        <v>SPL1622</v>
      </c>
      <c r="D183" s="35" t="str">
        <f t="shared" ca="1" si="6"/>
        <v>Konservasi Pesisir dan Laut</v>
      </c>
      <c r="E183" s="44">
        <f ca="1">IFERROR(VLOOKUP(A183,Mentah!D:J,7,FALSE),"")</f>
        <v>2</v>
      </c>
      <c r="F183" s="44" t="str">
        <f ca="1">IFERROR(VLOOKUP(A183,Mentah!D:K,8,FALSE),"")</f>
        <v>C252</v>
      </c>
      <c r="G183" s="35" t="str">
        <f t="shared" ca="1" si="2"/>
        <v>('SPL1622','Konservasi Pesisir dan Laut','2','C252'),</v>
      </c>
    </row>
    <row r="184" spans="1:7" ht="12.5" x14ac:dyDescent="0.25">
      <c r="A184" s="9" t="str">
        <f ca="1">IFERROR(__xludf.DUMMYFUNCTION("""COMPUTED_VALUE"""),"SPL1623 - Pengelolaan Ekowisata Pesisir dan Laut")</f>
        <v>SPL1623 - Pengelolaan Ekowisata Pesisir dan Laut</v>
      </c>
      <c r="B184" s="44">
        <v>183</v>
      </c>
      <c r="C184" s="35" t="str">
        <f t="shared" ca="1" si="5"/>
        <v>SPL1623</v>
      </c>
      <c r="D184" s="35" t="str">
        <f t="shared" ca="1" si="6"/>
        <v>Pengelolaan Ekowisata Pesisir dan Laut</v>
      </c>
      <c r="E184" s="44">
        <f ca="1">IFERROR(VLOOKUP(A184,Mentah!D:J,7,FALSE),"")</f>
        <v>2</v>
      </c>
      <c r="F184" s="44" t="str">
        <f ca="1">IFERROR(VLOOKUP(A184,Mentah!D:K,8,FALSE),"")</f>
        <v>C252</v>
      </c>
      <c r="G184" s="35" t="str">
        <f t="shared" ca="1" si="2"/>
        <v>('SPL1623','Pengelolaan Ekowisata Pesisir dan Laut','2','C252'),</v>
      </c>
    </row>
    <row r="185" spans="1:7" ht="12.5" x14ac:dyDescent="0.25">
      <c r="A185" s="9" t="str">
        <f ca="1">IFERROR(__xludf.DUMMYFUNCTION("""COMPUTED_VALUE"""),"SPL1511 - Dinamika Pesisir dan Laut")</f>
        <v>SPL1511 - Dinamika Pesisir dan Laut</v>
      </c>
      <c r="B185" s="44">
        <v>184</v>
      </c>
      <c r="C185" s="35" t="str">
        <f t="shared" ca="1" si="5"/>
        <v>SPL1511</v>
      </c>
      <c r="D185" s="35" t="str">
        <f t="shared" ca="1" si="6"/>
        <v>Dinamika Pesisir dan Laut</v>
      </c>
      <c r="E185" s="44">
        <f ca="1">IFERROR(VLOOKUP(A185,Mentah!D:J,7,FALSE),"")</f>
        <v>1</v>
      </c>
      <c r="F185" s="44" t="str">
        <f ca="1">IFERROR(VLOOKUP(A185,Mentah!D:K,8,FALSE),"")</f>
        <v>C252</v>
      </c>
      <c r="G185" s="35" t="str">
        <f t="shared" ca="1" si="2"/>
        <v>('SPL1511','Dinamika Pesisir dan Laut','1','C252'),</v>
      </c>
    </row>
    <row r="186" spans="1:7" ht="12.5" x14ac:dyDescent="0.25">
      <c r="A186" s="9" t="str">
        <f ca="1">IFERROR(__xludf.DUMMYFUNCTION("""COMPUTED_VALUE"""),"SPL1601 - Kapita Selekta Pengelolaan Sumberdaya Pesisir dan Laut")</f>
        <v>SPL1601 - Kapita Selekta Pengelolaan Sumberdaya Pesisir dan Laut</v>
      </c>
      <c r="B186" s="44">
        <v>185</v>
      </c>
      <c r="C186" s="35" t="str">
        <f t="shared" ca="1" si="5"/>
        <v>SPL1601</v>
      </c>
      <c r="D186" s="35" t="str">
        <f t="shared" ca="1" si="6"/>
        <v>Kapita Selekta Pengelolaan Sumberdaya Pesisir dan Laut</v>
      </c>
      <c r="E186" s="44">
        <f ca="1">IFERROR(VLOOKUP(A186,Mentah!D:J,7,FALSE),"")</f>
        <v>2</v>
      </c>
      <c r="F186" s="44" t="str">
        <f ca="1">IFERROR(VLOOKUP(A186,Mentah!D:K,8,FALSE),"")</f>
        <v>C252</v>
      </c>
      <c r="G186" s="35" t="str">
        <f t="shared" ca="1" si="2"/>
        <v>('SPL1601','Kapita Selekta Pengelolaan Sumberdaya Pesisir dan Laut','2','C252'),</v>
      </c>
    </row>
    <row r="187" spans="1:7" ht="12.5" x14ac:dyDescent="0.25">
      <c r="A187" s="9" t="str">
        <f ca="1">IFERROR(__xludf.DUMMYFUNCTION("""COMPUTED_VALUE"""),"THP1601 - Metodologi Penelitian")</f>
        <v>THP1601 - Metodologi Penelitian</v>
      </c>
      <c r="B187" s="44">
        <v>186</v>
      </c>
      <c r="C187" s="35" t="str">
        <f t="shared" ca="1" si="5"/>
        <v>THP1601</v>
      </c>
      <c r="D187" s="35" t="str">
        <f t="shared" ca="1" si="6"/>
        <v>Metodologi Penelitian</v>
      </c>
      <c r="E187" s="44">
        <f ca="1">IFERROR(VLOOKUP(A187,Mentah!D:J,7,FALSE),"")</f>
        <v>2</v>
      </c>
      <c r="F187" s="44" t="str">
        <f ca="1">IFERROR(VLOOKUP(A187,Mentah!D:K,8,FALSE),"")</f>
        <v>C351</v>
      </c>
      <c r="G187" s="35" t="str">
        <f t="shared" ca="1" si="2"/>
        <v>('THP1601','Metodologi Penelitian','2','C351'),</v>
      </c>
    </row>
    <row r="188" spans="1:7" ht="12.5" x14ac:dyDescent="0.25">
      <c r="A188" s="9" t="str">
        <f ca="1">IFERROR(__xludf.DUMMYFUNCTION("""COMPUTED_VALUE"""),"THP1535 - Teknologi Pengembangan Kitin-Kitosan")</f>
        <v>THP1535 - Teknologi Pengembangan Kitin-Kitosan</v>
      </c>
      <c r="B188" s="44">
        <v>187</v>
      </c>
      <c r="C188" s="35" t="str">
        <f t="shared" ca="1" si="5"/>
        <v>THP1535</v>
      </c>
      <c r="D188" s="35" t="str">
        <f t="shared" ca="1" si="6"/>
        <v>Teknologi Pengembangan Kitin-Kitosan</v>
      </c>
      <c r="E188" s="44">
        <f ca="1">IFERROR(VLOOKUP(A188,Mentah!D:J,7,FALSE),"")</f>
        <v>1</v>
      </c>
      <c r="F188" s="44" t="str">
        <f ca="1">IFERROR(VLOOKUP(A188,Mentah!D:K,8,FALSE),"")</f>
        <v>C351</v>
      </c>
      <c r="G188" s="35" t="str">
        <f t="shared" ca="1" si="2"/>
        <v>('THP1535','Teknologi Pengembangan Kitin-Kitosan','1','C351'),</v>
      </c>
    </row>
    <row r="189" spans="1:7" ht="12.5" x14ac:dyDescent="0.25">
      <c r="A189" s="9" t="str">
        <f ca="1">IFERROR(__xludf.DUMMYFUNCTION("""COMPUTED_VALUE"""),"THP1616 - Teknik Imunokimia Hasil Perairan")</f>
        <v>THP1616 - Teknik Imunokimia Hasil Perairan</v>
      </c>
      <c r="B189" s="44">
        <v>188</v>
      </c>
      <c r="C189" s="35" t="str">
        <f t="shared" ca="1" si="5"/>
        <v>THP1616</v>
      </c>
      <c r="D189" s="35" t="str">
        <f t="shared" ca="1" si="6"/>
        <v>Teknik Imunokimia Hasil Perairan</v>
      </c>
      <c r="E189" s="44">
        <f ca="1">IFERROR(VLOOKUP(A189,Mentah!D:J,7,FALSE),"")</f>
        <v>1</v>
      </c>
      <c r="F189" s="44" t="str">
        <f ca="1">IFERROR(VLOOKUP(A189,Mentah!D:K,8,FALSE),"")</f>
        <v>C351</v>
      </c>
      <c r="G189" s="35" t="str">
        <f t="shared" ca="1" si="2"/>
        <v>('THP1616','Teknik Imunokimia Hasil Perairan','1','C351'),</v>
      </c>
    </row>
    <row r="190" spans="1:7" ht="12.5" x14ac:dyDescent="0.25">
      <c r="A190" s="9" t="str">
        <f ca="1">IFERROR(__xludf.DUMMYFUNCTION("""COMPUTED_VALUE"""),"THP1622 - Teknologi Bioremediasi Perairan")</f>
        <v>THP1622 - Teknologi Bioremediasi Perairan</v>
      </c>
      <c r="B190" s="44">
        <v>189</v>
      </c>
      <c r="C190" s="35" t="str">
        <f t="shared" ca="1" si="5"/>
        <v>THP1622</v>
      </c>
      <c r="D190" s="35" t="str">
        <f t="shared" ca="1" si="6"/>
        <v>Teknologi Bioremediasi Perairan</v>
      </c>
      <c r="E190" s="44">
        <f ca="1">IFERROR(VLOOKUP(A190,Mentah!D:J,7,FALSE),"")</f>
        <v>1</v>
      </c>
      <c r="F190" s="44" t="str">
        <f ca="1">IFERROR(VLOOKUP(A190,Mentah!D:K,8,FALSE),"")</f>
        <v>C351</v>
      </c>
      <c r="G190" s="35" t="str">
        <f t="shared" ca="1" si="2"/>
        <v>('THP1622','Teknologi Bioremediasi Perairan','1','C351'),</v>
      </c>
    </row>
    <row r="191" spans="1:7" ht="12.5" x14ac:dyDescent="0.25">
      <c r="A191" s="9" t="str">
        <f ca="1">IFERROR(__xludf.DUMMYFUNCTION("""COMPUTED_VALUE"""),"THP1528 - Bioteknologi dan Kosmeseutika Hasil Laut")</f>
        <v>THP1528 - Bioteknologi dan Kosmeseutika Hasil Laut</v>
      </c>
      <c r="B191" s="44">
        <v>190</v>
      </c>
      <c r="C191" s="35" t="str">
        <f t="shared" ca="1" si="5"/>
        <v>THP1528</v>
      </c>
      <c r="D191" s="35" t="str">
        <f t="shared" ca="1" si="6"/>
        <v>Bioteknologi dan Kosmeseutika Hasil Laut</v>
      </c>
      <c r="E191" s="44">
        <f ca="1">IFERROR(VLOOKUP(A191,Mentah!D:J,7,FALSE),"")</f>
        <v>1</v>
      </c>
      <c r="F191" s="44" t="str">
        <f ca="1">IFERROR(VLOOKUP(A191,Mentah!D:K,8,FALSE),"")</f>
        <v>C351</v>
      </c>
      <c r="G191" s="35" t="str">
        <f t="shared" ca="1" si="2"/>
        <v>('THP1528','Bioteknologi dan Kosmeseutika Hasil Laut','1','C351'),</v>
      </c>
    </row>
    <row r="192" spans="1:7" ht="12.5" x14ac:dyDescent="0.25">
      <c r="A192" s="9" t="str">
        <f ca="1">IFERROR(__xludf.DUMMYFUNCTION("""COMPUTED_VALUE"""),"THP1512 - Enzim Hasil Perairan")</f>
        <v>THP1512 - Enzim Hasil Perairan</v>
      </c>
      <c r="B192" s="44">
        <v>191</v>
      </c>
      <c r="C192" s="35" t="str">
        <f t="shared" ca="1" si="5"/>
        <v>THP1512</v>
      </c>
      <c r="D192" s="35" t="str">
        <f t="shared" ca="1" si="6"/>
        <v>Enzim Hasil Perairan</v>
      </c>
      <c r="E192" s="44">
        <f ca="1">IFERROR(VLOOKUP(A192,Mentah!D:J,7,FALSE),"")</f>
        <v>1</v>
      </c>
      <c r="F192" s="44" t="str">
        <f ca="1">IFERROR(VLOOKUP(A192,Mentah!D:K,8,FALSE),"")</f>
        <v>C351</v>
      </c>
      <c r="G192" s="35" t="str">
        <f t="shared" ca="1" si="2"/>
        <v>('THP1512','Enzim Hasil Perairan','1','C351'),</v>
      </c>
    </row>
    <row r="193" spans="1:7" ht="12.5" x14ac:dyDescent="0.25">
      <c r="A193" s="9" t="str">
        <f ca="1">IFERROR(__xludf.DUMMYFUNCTION("""COMPUTED_VALUE"""),"THP151A - Karakteristik Bahan Baku Hasil Perairan")</f>
        <v>THP151A - Karakteristik Bahan Baku Hasil Perairan</v>
      </c>
      <c r="B193" s="44">
        <v>192</v>
      </c>
      <c r="C193" s="35" t="str">
        <f t="shared" ca="1" si="5"/>
        <v>THP151A</v>
      </c>
      <c r="D193" s="35" t="str">
        <f t="shared" ca="1" si="6"/>
        <v>Karakteristik Bahan Baku Hasil Perairan</v>
      </c>
      <c r="E193" s="44">
        <f ca="1">IFERROR(VLOOKUP(A193,Mentah!D:J,7,FALSE),"")</f>
        <v>1</v>
      </c>
      <c r="F193" s="44" t="str">
        <f ca="1">IFERROR(VLOOKUP(A193,Mentah!D:K,8,FALSE),"")</f>
        <v>C351</v>
      </c>
      <c r="G193" s="35" t="str">
        <f t="shared" ca="1" si="2"/>
        <v>('THP151A','Karakteristik Bahan Baku Hasil Perairan','1','C351'),</v>
      </c>
    </row>
    <row r="194" spans="1:7" ht="12.5" x14ac:dyDescent="0.25">
      <c r="A194" s="9" t="str">
        <f ca="1">IFERROR(__xludf.DUMMYFUNCTION("""COMPUTED_VALUE"""),"THP1525 - Mikrobiologi Fermentasi Hasil Perairan")</f>
        <v>THP1525 - Mikrobiologi Fermentasi Hasil Perairan</v>
      </c>
      <c r="B194" s="44">
        <v>193</v>
      </c>
      <c r="C194" s="35" t="str">
        <f t="shared" ref="C194:C257" ca="1" si="7">IFERROR(LEFT(A194,7),"")</f>
        <v>THP1525</v>
      </c>
      <c r="D194" s="35" t="str">
        <f t="shared" ref="D194:D257" ca="1" si="8">IFERROR(MID(A194,11,99),"")</f>
        <v>Mikrobiologi Fermentasi Hasil Perairan</v>
      </c>
      <c r="E194" s="44">
        <f ca="1">IFERROR(VLOOKUP(A194,Mentah!D:J,7,FALSE),"")</f>
        <v>1</v>
      </c>
      <c r="F194" s="44" t="str">
        <f ca="1">IFERROR(VLOOKUP(A194,Mentah!D:K,8,FALSE),"")</f>
        <v>C351</v>
      </c>
      <c r="G194" s="35" t="str">
        <f t="shared" ca="1" si="2"/>
        <v>('THP1525','Mikrobiologi Fermentasi Hasil Perairan','1','C351'),</v>
      </c>
    </row>
    <row r="195" spans="1:7" ht="12.5" x14ac:dyDescent="0.25">
      <c r="A195" s="9" t="str">
        <f ca="1">IFERROR(__xludf.DUMMYFUNCTION("""COMPUTED_VALUE"""),"THP1624 - Nutrasetika dan Farmasetika Hasil Perairan")</f>
        <v>THP1624 - Nutrasetika dan Farmasetika Hasil Perairan</v>
      </c>
      <c r="B195" s="44">
        <v>194</v>
      </c>
      <c r="C195" s="35" t="str">
        <f t="shared" ca="1" si="7"/>
        <v>THP1624</v>
      </c>
      <c r="D195" s="35" t="str">
        <f t="shared" ca="1" si="8"/>
        <v>Nutrasetika dan Farmasetika Hasil Perairan</v>
      </c>
      <c r="E195" s="44">
        <f ca="1">IFERROR(VLOOKUP(A195,Mentah!D:J,7,FALSE),"")</f>
        <v>1</v>
      </c>
      <c r="F195" s="44" t="str">
        <f ca="1">IFERROR(VLOOKUP(A195,Mentah!D:K,8,FALSE),"")</f>
        <v>C351</v>
      </c>
      <c r="G195" s="35" t="str">
        <f t="shared" ca="1" si="2"/>
        <v>('THP1624','Nutrasetika dan Farmasetika Hasil Perairan','1','C351'),</v>
      </c>
    </row>
    <row r="196" spans="1:7" ht="12.5" x14ac:dyDescent="0.25">
      <c r="A196" s="9" t="str">
        <f ca="1">IFERROR(__xludf.DUMMYFUNCTION("""COMPUTED_VALUE"""),"THP1502 - Teknologi Pengolahan Hasil Perairan Berkelanjutan")</f>
        <v>THP1502 - Teknologi Pengolahan Hasil Perairan Berkelanjutan</v>
      </c>
      <c r="B196" s="44">
        <v>195</v>
      </c>
      <c r="C196" s="35" t="str">
        <f t="shared" ca="1" si="7"/>
        <v>THP1502</v>
      </c>
      <c r="D196" s="35" t="str">
        <f t="shared" ca="1" si="8"/>
        <v>Teknologi Pengolahan Hasil Perairan Berkelanjutan</v>
      </c>
      <c r="E196" s="44">
        <f ca="1">IFERROR(VLOOKUP(A196,Mentah!D:J,7,FALSE),"")</f>
        <v>2</v>
      </c>
      <c r="F196" s="44" t="str">
        <f ca="1">IFERROR(VLOOKUP(A196,Mentah!D:K,8,FALSE),"")</f>
        <v>C351</v>
      </c>
      <c r="G196" s="35" t="str">
        <f t="shared" ca="1" si="2"/>
        <v>('THP1502','Teknologi Pengolahan Hasil Perairan Berkelanjutan','2','C351'),</v>
      </c>
    </row>
    <row r="197" spans="1:7" ht="12.5" x14ac:dyDescent="0.25">
      <c r="A197" s="9" t="str">
        <f ca="1">IFERROR(__xludf.DUMMYFUNCTION("""COMPUTED_VALUE"""),"THP169B - Publikasi Ilmiah")</f>
        <v>THP169B - Publikasi Ilmiah</v>
      </c>
      <c r="B197" s="44">
        <v>196</v>
      </c>
      <c r="C197" s="35" t="str">
        <f t="shared" ca="1" si="7"/>
        <v>THP169B</v>
      </c>
      <c r="D197" s="35" t="str">
        <f t="shared" ca="1" si="8"/>
        <v>Publikasi Ilmiah</v>
      </c>
      <c r="E197" s="44">
        <f ca="1">IFERROR(VLOOKUP(A197,Mentah!D:J,7,FALSE),"")</f>
        <v>4</v>
      </c>
      <c r="F197" s="44" t="str">
        <f ca="1">IFERROR(VLOOKUP(A197,Mentah!D:K,8,FALSE),"")</f>
        <v>C351</v>
      </c>
      <c r="G197" s="35" t="str">
        <f t="shared" ca="1" si="2"/>
        <v>('THP169B','Publikasi Ilmiah','4','C351'),</v>
      </c>
    </row>
    <row r="198" spans="1:7" ht="12.5" x14ac:dyDescent="0.25">
      <c r="A198" s="9" t="str">
        <f ca="1">IFERROR(__xludf.DUMMYFUNCTION("""COMPUTED_VALUE"""),"THP1639 - Teknologi Formulasi Hasil Perairan")</f>
        <v>THP1639 - Teknologi Formulasi Hasil Perairan</v>
      </c>
      <c r="B198" s="44">
        <v>197</v>
      </c>
      <c r="C198" s="35" t="str">
        <f t="shared" ca="1" si="7"/>
        <v>THP1639</v>
      </c>
      <c r="D198" s="35" t="str">
        <f t="shared" ca="1" si="8"/>
        <v>Teknologi Formulasi Hasil Perairan</v>
      </c>
      <c r="E198" s="44">
        <f ca="1">IFERROR(VLOOKUP(A198,Mentah!D:J,7,FALSE),"")</f>
        <v>2</v>
      </c>
      <c r="F198" s="44" t="str">
        <f ca="1">IFERROR(VLOOKUP(A198,Mentah!D:K,8,FALSE),"")</f>
        <v>C351</v>
      </c>
      <c r="G198" s="35" t="str">
        <f t="shared" ca="1" si="2"/>
        <v>('THP1639','Teknologi Formulasi Hasil Perairan','2','C351'),</v>
      </c>
    </row>
    <row r="199" spans="1:7" ht="12.5" x14ac:dyDescent="0.25">
      <c r="A199" s="9" t="str">
        <f ca="1">IFERROR(__xludf.DUMMYFUNCTION("""COMPUTED_VALUE"""),"THP1514 - Biomolekuler Hasil Perairan")</f>
        <v>THP1514 - Biomolekuler Hasil Perairan</v>
      </c>
      <c r="B199" s="44">
        <v>198</v>
      </c>
      <c r="C199" s="35" t="str">
        <f t="shared" ca="1" si="7"/>
        <v>THP1514</v>
      </c>
      <c r="D199" s="35" t="str">
        <f t="shared" ca="1" si="8"/>
        <v>Biomolekuler Hasil Perairan</v>
      </c>
      <c r="E199" s="44">
        <f ca="1">IFERROR(VLOOKUP(A199,Mentah!D:J,7,FALSE),"")</f>
        <v>1</v>
      </c>
      <c r="F199" s="44" t="str">
        <f ca="1">IFERROR(VLOOKUP(A199,Mentah!D:K,8,FALSE),"")</f>
        <v>C351</v>
      </c>
      <c r="G199" s="35" t="str">
        <f t="shared" ca="1" si="2"/>
        <v>('THP1514','Biomolekuler Hasil Perairan','1','C351'),</v>
      </c>
    </row>
    <row r="200" spans="1:7" ht="12.5" x14ac:dyDescent="0.25">
      <c r="A200" s="9" t="str">
        <f ca="1">IFERROR(__xludf.DUMMYFUNCTION("""COMPUTED_VALUE"""),"THP1533 - Teknologi Industri Minyak Ikan")</f>
        <v>THP1533 - Teknologi Industri Minyak Ikan</v>
      </c>
      <c r="B200" s="44">
        <v>199</v>
      </c>
      <c r="C200" s="35" t="str">
        <f t="shared" ca="1" si="7"/>
        <v>THP1533</v>
      </c>
      <c r="D200" s="35" t="str">
        <f t="shared" ca="1" si="8"/>
        <v>Teknologi Industri Minyak Ikan</v>
      </c>
      <c r="E200" s="44">
        <f ca="1">IFERROR(VLOOKUP(A200,Mentah!D:J,7,FALSE),"")</f>
        <v>1</v>
      </c>
      <c r="F200" s="44" t="str">
        <f ca="1">IFERROR(VLOOKUP(A200,Mentah!D:K,8,FALSE),"")</f>
        <v>C351</v>
      </c>
      <c r="G200" s="35" t="str">
        <f t="shared" ca="1" si="2"/>
        <v>('THP1533','Teknologi Industri Minyak Ikan','1','C351'),</v>
      </c>
    </row>
    <row r="201" spans="1:7" ht="12.5" x14ac:dyDescent="0.25">
      <c r="A201" s="9" t="str">
        <f ca="1">IFERROR(__xludf.DUMMYFUNCTION("""COMPUTED_VALUE"""),"THP1623 - Bioteknologi Mikroalga")</f>
        <v>THP1623 - Bioteknologi Mikroalga</v>
      </c>
      <c r="B201" s="44">
        <v>200</v>
      </c>
      <c r="C201" s="35" t="str">
        <f t="shared" ca="1" si="7"/>
        <v>THP1623</v>
      </c>
      <c r="D201" s="35" t="str">
        <f t="shared" ca="1" si="8"/>
        <v>Bioteknologi Mikroalga</v>
      </c>
      <c r="E201" s="44">
        <f ca="1">IFERROR(VLOOKUP(A201,Mentah!D:J,7,FALSE),"")</f>
        <v>1</v>
      </c>
      <c r="F201" s="44" t="str">
        <f ca="1">IFERROR(VLOOKUP(A201,Mentah!D:K,8,FALSE),"")</f>
        <v>C351</v>
      </c>
      <c r="G201" s="35" t="str">
        <f t="shared" ca="1" si="2"/>
        <v>('THP1623','Bioteknologi Mikroalga','1','C351'),</v>
      </c>
    </row>
    <row r="202" spans="1:7" ht="12.5" x14ac:dyDescent="0.25">
      <c r="A202" s="9" t="str">
        <f ca="1">IFERROR(__xludf.DUMMYFUNCTION("""COMPUTED_VALUE"""),"THP1634 - Standardisasi Hasil Perikanan")</f>
        <v>THP1634 - Standardisasi Hasil Perikanan</v>
      </c>
      <c r="B202" s="44">
        <v>201</v>
      </c>
      <c r="C202" s="35" t="str">
        <f t="shared" ca="1" si="7"/>
        <v>THP1634</v>
      </c>
      <c r="D202" s="35" t="str">
        <f t="shared" ca="1" si="8"/>
        <v>Standardisasi Hasil Perikanan</v>
      </c>
      <c r="E202" s="44">
        <f ca="1">IFERROR(VLOOKUP(A202,Mentah!D:J,7,FALSE),"")</f>
        <v>1</v>
      </c>
      <c r="F202" s="44" t="str">
        <f ca="1">IFERROR(VLOOKUP(A202,Mentah!D:K,8,FALSE),"")</f>
        <v>C351</v>
      </c>
      <c r="G202" s="35" t="str">
        <f t="shared" ca="1" si="2"/>
        <v>('THP1634','Standardisasi Hasil Perikanan','1','C351'),</v>
      </c>
    </row>
    <row r="203" spans="1:7" ht="12.5" x14ac:dyDescent="0.25">
      <c r="A203" s="9" t="str">
        <f ca="1">IFERROR(__xludf.DUMMYFUNCTION("""COMPUTED_VALUE"""),"THP1536 - Pengembangan Bioenergi Berbasis Biomassa Hasil Perairan")</f>
        <v>THP1536 - Pengembangan Bioenergi Berbasis Biomassa Hasil Perairan</v>
      </c>
      <c r="B203" s="44">
        <v>202</v>
      </c>
      <c r="C203" s="35" t="str">
        <f t="shared" ca="1" si="7"/>
        <v>THP1536</v>
      </c>
      <c r="D203" s="35" t="str">
        <f t="shared" ca="1" si="8"/>
        <v>Pengembangan Bioenergi Berbasis Biomassa Hasil Perairan</v>
      </c>
      <c r="E203" s="44">
        <f ca="1">IFERROR(VLOOKUP(A203,Mentah!D:J,7,FALSE),"")</f>
        <v>1</v>
      </c>
      <c r="F203" s="44" t="str">
        <f ca="1">IFERROR(VLOOKUP(A203,Mentah!D:K,8,FALSE),"")</f>
        <v>C351</v>
      </c>
      <c r="G203" s="35" t="str">
        <f t="shared" ca="1" si="2"/>
        <v>('THP1536','Pengembangan Bioenergi Berbasis Biomassa Hasil Perairan','1','C351'),</v>
      </c>
    </row>
    <row r="204" spans="1:7" ht="12.5" x14ac:dyDescent="0.25">
      <c r="A204" s="9" t="str">
        <f ca="1">IFERROR(__xludf.DUMMYFUNCTION("""COMPUTED_VALUE"""),"THP1615 - Pengembangan Desain Kit Deteksi Mutu dan Keamanan Bahan Baku Hasil Perairan")</f>
        <v>THP1615 - Pengembangan Desain Kit Deteksi Mutu dan Keamanan Bahan Baku Hasil Perairan</v>
      </c>
      <c r="B204" s="44">
        <v>203</v>
      </c>
      <c r="C204" s="35" t="str">
        <f t="shared" ca="1" si="7"/>
        <v>THP1615</v>
      </c>
      <c r="D204" s="35" t="str">
        <f t="shared" ca="1" si="8"/>
        <v>Pengembangan Desain Kit Deteksi Mutu dan Keamanan Bahan Baku Hasil Perairan</v>
      </c>
      <c r="E204" s="44">
        <f ca="1">IFERROR(VLOOKUP(A204,Mentah!D:J,7,FALSE),"")</f>
        <v>1</v>
      </c>
      <c r="F204" s="44" t="str">
        <f ca="1">IFERROR(VLOOKUP(A204,Mentah!D:K,8,FALSE),"")</f>
        <v>C351</v>
      </c>
      <c r="G204" s="35" t="str">
        <f t="shared" ca="1" si="2"/>
        <v>('THP1615','Pengembangan Desain Kit Deteksi Mutu dan Keamanan Bahan Baku Hasil Perairan','1','C351'),</v>
      </c>
    </row>
    <row r="205" spans="1:7" ht="12.5" x14ac:dyDescent="0.25">
      <c r="A205" s="9" t="str">
        <f ca="1">IFERROR(__xludf.DUMMYFUNCTION("""COMPUTED_VALUE"""),"THP1531 - Ilmu dan Teknologi Surimi")</f>
        <v>THP1531 - Ilmu dan Teknologi Surimi</v>
      </c>
      <c r="B205" s="44">
        <v>204</v>
      </c>
      <c r="C205" s="35" t="str">
        <f t="shared" ca="1" si="7"/>
        <v>THP1531</v>
      </c>
      <c r="D205" s="35" t="str">
        <f t="shared" ca="1" si="8"/>
        <v>Ilmu dan Teknologi Surimi</v>
      </c>
      <c r="E205" s="44">
        <f ca="1">IFERROR(VLOOKUP(A205,Mentah!D:J,7,FALSE),"")</f>
        <v>1</v>
      </c>
      <c r="F205" s="44" t="str">
        <f ca="1">IFERROR(VLOOKUP(A205,Mentah!D:K,8,FALSE),"")</f>
        <v>C351</v>
      </c>
      <c r="G205" s="35" t="str">
        <f t="shared" ca="1" si="2"/>
        <v>('THP1531','Ilmu dan Teknologi Surimi','1','C351'),</v>
      </c>
    </row>
    <row r="206" spans="1:7" ht="12.5" x14ac:dyDescent="0.25">
      <c r="A206" s="9" t="str">
        <f ca="1">IFERROR(__xludf.DUMMYFUNCTION("""COMPUTED_VALUE"""),"TPL1522 - Teknologi Cerdas Alat Penangkapan Ikan")</f>
        <v>TPL1522 - Teknologi Cerdas Alat Penangkapan Ikan</v>
      </c>
      <c r="B206" s="44">
        <v>205</v>
      </c>
      <c r="C206" s="35" t="str">
        <f t="shared" ca="1" si="7"/>
        <v>TPL1522</v>
      </c>
      <c r="D206" s="35" t="str">
        <f t="shared" ca="1" si="8"/>
        <v>Teknologi Cerdas Alat Penangkapan Ikan</v>
      </c>
      <c r="E206" s="44">
        <f ca="1">IFERROR(VLOOKUP(A206,Mentah!D:J,7,FALSE),"")</f>
        <v>2</v>
      </c>
      <c r="F206" s="44" t="str">
        <f ca="1">IFERROR(VLOOKUP(A206,Mentah!D:K,8,FALSE),"")</f>
        <v>C453</v>
      </c>
      <c r="G206" s="35" t="str">
        <f t="shared" ca="1" si="2"/>
        <v>('TPL1522','Teknologi Cerdas Alat Penangkapan Ikan','2','C453'),</v>
      </c>
    </row>
    <row r="207" spans="1:7" ht="12.5" x14ac:dyDescent="0.25">
      <c r="A207" s="9" t="str">
        <f ca="1">IFERROR(__xludf.DUMMYFUNCTION("""COMPUTED_VALUE"""),"TPL1533 - Kargo")</f>
        <v>TPL1533 - Kargo</v>
      </c>
      <c r="B207" s="44">
        <v>206</v>
      </c>
      <c r="C207" s="35" t="str">
        <f t="shared" ca="1" si="7"/>
        <v>TPL1533</v>
      </c>
      <c r="D207" s="35" t="str">
        <f t="shared" ca="1" si="8"/>
        <v>Kargo</v>
      </c>
      <c r="E207" s="44">
        <f ca="1">IFERROR(VLOOKUP(A207,Mentah!D:J,7,FALSE),"")</f>
        <v>2</v>
      </c>
      <c r="F207" s="44" t="str">
        <f ca="1">IFERROR(VLOOKUP(A207,Mentah!D:K,8,FALSE),"")</f>
        <v>C453</v>
      </c>
      <c r="G207" s="35" t="str">
        <f t="shared" ca="1" si="2"/>
        <v>('TPL1533','Kargo','2','C453'),</v>
      </c>
    </row>
    <row r="208" spans="1:7" ht="12.5" x14ac:dyDescent="0.25">
      <c r="A208" s="9" t="str">
        <f ca="1">IFERROR(__xludf.DUMMYFUNCTION("""COMPUTED_VALUE"""),"TPL1512 - Analisis Dinamika Daerah Penangkapan Ikan")</f>
        <v>TPL1512 - Analisis Dinamika Daerah Penangkapan Ikan</v>
      </c>
      <c r="B208" s="44">
        <v>207</v>
      </c>
      <c r="C208" s="35" t="str">
        <f t="shared" ca="1" si="7"/>
        <v>TPL1512</v>
      </c>
      <c r="D208" s="35" t="str">
        <f t="shared" ca="1" si="8"/>
        <v>Analisis Dinamika Daerah Penangkapan Ikan</v>
      </c>
      <c r="E208" s="44">
        <f ca="1">IFERROR(VLOOKUP(A208,Mentah!D:J,7,FALSE),"")</f>
        <v>2</v>
      </c>
      <c r="F208" s="44" t="str">
        <f ca="1">IFERROR(VLOOKUP(A208,Mentah!D:K,8,FALSE),"")</f>
        <v>C453</v>
      </c>
      <c r="G208" s="35" t="str">
        <f t="shared" ca="1" si="2"/>
        <v>('TPL1512','Analisis Dinamika Daerah Penangkapan Ikan','2','C453'),</v>
      </c>
    </row>
    <row r="209" spans="1:7" ht="12.5" x14ac:dyDescent="0.25">
      <c r="A209" s="9" t="str">
        <f ca="1">IFERROR(__xludf.DUMMYFUNCTION("""COMPUTED_VALUE"""),"TPL1523 - Perikanan Tangkap Berkelanjutan")</f>
        <v>TPL1523 - Perikanan Tangkap Berkelanjutan</v>
      </c>
      <c r="B209" s="44">
        <v>208</v>
      </c>
      <c r="C209" s="35" t="str">
        <f t="shared" ca="1" si="7"/>
        <v>TPL1523</v>
      </c>
      <c r="D209" s="35" t="str">
        <f t="shared" ca="1" si="8"/>
        <v>Perikanan Tangkap Berkelanjutan</v>
      </c>
      <c r="E209" s="44">
        <f ca="1">IFERROR(VLOOKUP(A209,Mentah!D:J,7,FALSE),"")</f>
        <v>2</v>
      </c>
      <c r="F209" s="44" t="str">
        <f ca="1">IFERROR(VLOOKUP(A209,Mentah!D:K,8,FALSE),"")</f>
        <v>C453</v>
      </c>
      <c r="G209" s="35" t="str">
        <f t="shared" ca="1" si="2"/>
        <v>('TPL1523','Perikanan Tangkap Berkelanjutan','2','C453'),</v>
      </c>
    </row>
    <row r="210" spans="1:7" ht="12.5" x14ac:dyDescent="0.25">
      <c r="A210" s="9" t="str">
        <f ca="1">IFERROR(__xludf.DUMMYFUNCTION("""COMPUTED_VALUE"""),"TPL1536 - Evaluasi Permesinan Kapal Perikanan")</f>
        <v>TPL1536 - Evaluasi Permesinan Kapal Perikanan</v>
      </c>
      <c r="B210" s="44">
        <v>209</v>
      </c>
      <c r="C210" s="35" t="str">
        <f t="shared" ca="1" si="7"/>
        <v>TPL1536</v>
      </c>
      <c r="D210" s="35" t="str">
        <f t="shared" ca="1" si="8"/>
        <v>Evaluasi Permesinan Kapal Perikanan</v>
      </c>
      <c r="E210" s="44">
        <f ca="1">IFERROR(VLOOKUP(A210,Mentah!D:J,7,FALSE),"")</f>
        <v>2</v>
      </c>
      <c r="F210" s="44" t="str">
        <f ca="1">IFERROR(VLOOKUP(A210,Mentah!D:K,8,FALSE),"")</f>
        <v>C453</v>
      </c>
      <c r="G210" s="35" t="str">
        <f t="shared" ca="1" si="2"/>
        <v>('TPL1536','Evaluasi Permesinan Kapal Perikanan','2','C453'),</v>
      </c>
    </row>
    <row r="211" spans="1:7" ht="12.5" x14ac:dyDescent="0.25">
      <c r="A211" s="9" t="str">
        <f ca="1">IFERROR(__xludf.DUMMYFUNCTION("""COMPUTED_VALUE"""),"TPL1521 - Desain dan Kontruksi Alat Penangkapan Ikan")</f>
        <v>TPL1521 - Desain dan Kontruksi Alat Penangkapan Ikan</v>
      </c>
      <c r="B211" s="44">
        <v>210</v>
      </c>
      <c r="C211" s="35" t="str">
        <f t="shared" ca="1" si="7"/>
        <v>TPL1521</v>
      </c>
      <c r="D211" s="35" t="str">
        <f t="shared" ca="1" si="8"/>
        <v>Desain dan Kontruksi Alat Penangkapan Ikan</v>
      </c>
      <c r="E211" s="44">
        <f ca="1">IFERROR(VLOOKUP(A211,Mentah!D:J,7,FALSE),"")</f>
        <v>2</v>
      </c>
      <c r="F211" s="44" t="str">
        <f ca="1">IFERROR(VLOOKUP(A211,Mentah!D:K,8,FALSE),"")</f>
        <v>C453</v>
      </c>
      <c r="G211" s="35" t="str">
        <f t="shared" ca="1" si="2"/>
        <v>('TPL1521','Desain dan Kontruksi Alat Penangkapan Ikan','2','C453'),</v>
      </c>
    </row>
    <row r="212" spans="1:7" ht="12.5" x14ac:dyDescent="0.25">
      <c r="A212" s="9" t="str">
        <f ca="1">IFERROR(__xludf.DUMMYFUNCTION("""COMPUTED_VALUE"""),"TPL1531 - Perencanaan Desain Kapal Perikanan")</f>
        <v>TPL1531 - Perencanaan Desain Kapal Perikanan</v>
      </c>
      <c r="B212" s="44">
        <v>211</v>
      </c>
      <c r="C212" s="35" t="str">
        <f t="shared" ca="1" si="7"/>
        <v>TPL1531</v>
      </c>
      <c r="D212" s="35" t="str">
        <f t="shared" ca="1" si="8"/>
        <v>Perencanaan Desain Kapal Perikanan</v>
      </c>
      <c r="E212" s="44">
        <f ca="1">IFERROR(VLOOKUP(A212,Mentah!D:J,7,FALSE),"")</f>
        <v>2</v>
      </c>
      <c r="F212" s="44" t="str">
        <f ca="1">IFERROR(VLOOKUP(A212,Mentah!D:K,8,FALSE),"")</f>
        <v>C453</v>
      </c>
      <c r="G212" s="35" t="str">
        <f t="shared" ca="1" si="2"/>
        <v>('TPL1531','Perencanaan Desain Kapal Perikanan','2','C453'),</v>
      </c>
    </row>
    <row r="213" spans="1:7" ht="12.5" x14ac:dyDescent="0.25">
      <c r="A213" s="9" t="str">
        <f ca="1">IFERROR(__xludf.DUMMYFUNCTION("""COMPUTED_VALUE"""),"TPL1542 - Industri dan Kewilayahan Pelabuhan Perikanan")</f>
        <v>TPL1542 - Industri dan Kewilayahan Pelabuhan Perikanan</v>
      </c>
      <c r="B213" s="44">
        <v>212</v>
      </c>
      <c r="C213" s="35" t="str">
        <f t="shared" ca="1" si="7"/>
        <v>TPL1542</v>
      </c>
      <c r="D213" s="35" t="str">
        <f t="shared" ca="1" si="8"/>
        <v>Industri dan Kewilayahan Pelabuhan Perikanan</v>
      </c>
      <c r="E213" s="44">
        <f ca="1">IFERROR(VLOOKUP(A213,Mentah!D:J,7,FALSE),"")</f>
        <v>2</v>
      </c>
      <c r="F213" s="44" t="str">
        <f ca="1">IFERROR(VLOOKUP(A213,Mentah!D:K,8,FALSE),"")</f>
        <v>C453</v>
      </c>
      <c r="G213" s="35" t="str">
        <f t="shared" ca="1" si="2"/>
        <v>('TPL1542','Industri dan Kewilayahan Pelabuhan Perikanan','2','C453'),</v>
      </c>
    </row>
    <row r="214" spans="1:7" ht="12.5" x14ac:dyDescent="0.25">
      <c r="A214" s="9" t="str">
        <f ca="1">IFERROR(__xludf.DUMMYFUNCTION("""COMPUTED_VALUE"""),"TPL1614 - Perencanaan dan Pengelolaan Daerah Penangkapan Ikan")</f>
        <v>TPL1614 - Perencanaan dan Pengelolaan Daerah Penangkapan Ikan</v>
      </c>
      <c r="B214" s="44">
        <v>213</v>
      </c>
      <c r="C214" s="35" t="str">
        <f t="shared" ca="1" si="7"/>
        <v>TPL1614</v>
      </c>
      <c r="D214" s="35" t="str">
        <f t="shared" ca="1" si="8"/>
        <v>Perencanaan dan Pengelolaan Daerah Penangkapan Ikan</v>
      </c>
      <c r="E214" s="44">
        <f ca="1">IFERROR(VLOOKUP(A214,Mentah!D:J,7,FALSE),"")</f>
        <v>2</v>
      </c>
      <c r="F214" s="44" t="str">
        <f ca="1">IFERROR(VLOOKUP(A214,Mentah!D:K,8,FALSE),"")</f>
        <v>C453</v>
      </c>
      <c r="G214" s="35" t="str">
        <f t="shared" ca="1" si="2"/>
        <v>('TPL1614','Perencanaan dan Pengelolaan Daerah Penangkapan Ikan','2','C453'),</v>
      </c>
    </row>
    <row r="215" spans="1:7" ht="12.5" x14ac:dyDescent="0.25">
      <c r="A215" s="9" t="str">
        <f ca="1">IFERROR(__xludf.DUMMYFUNCTION("""COMPUTED_VALUE"""),"TPL1553 - Analisis Hukum dan Peraturan Perundang-undangan Perikanan Tangkap")</f>
        <v>TPL1553 - Analisis Hukum dan Peraturan Perundang-undangan Perikanan Tangkap</v>
      </c>
      <c r="B215" s="44">
        <v>214</v>
      </c>
      <c r="C215" s="35" t="str">
        <f t="shared" ca="1" si="7"/>
        <v>TPL1553</v>
      </c>
      <c r="D215" s="35" t="str">
        <f t="shared" ca="1" si="8"/>
        <v>Analisis Hukum dan Peraturan Perundang-undangan Perikanan Tangkap</v>
      </c>
      <c r="E215" s="44">
        <f ca="1">IFERROR(VLOOKUP(A215,Mentah!D:J,7,FALSE),"")</f>
        <v>2</v>
      </c>
      <c r="F215" s="44" t="str">
        <f ca="1">IFERROR(VLOOKUP(A215,Mentah!D:K,8,FALSE),"")</f>
        <v>C453</v>
      </c>
      <c r="G215" s="35" t="str">
        <f t="shared" ca="1" si="2"/>
        <v>('TPL1553','Analisis Hukum dan Peraturan Perundang-undangan Perikanan Tangkap','2','C453'),</v>
      </c>
    </row>
    <row r="216" spans="1:7" ht="12.5" x14ac:dyDescent="0.25">
      <c r="A216" s="9" t="str">
        <f ca="1">IFERROR(__xludf.DUMMYFUNCTION("""COMPUTED_VALUE"""),"TPL1532 - Analisis Transportasi Perikanan")</f>
        <v>TPL1532 - Analisis Transportasi Perikanan</v>
      </c>
      <c r="B216" s="44">
        <v>215</v>
      </c>
      <c r="C216" s="35" t="str">
        <f t="shared" ca="1" si="7"/>
        <v>TPL1532</v>
      </c>
      <c r="D216" s="35" t="str">
        <f t="shared" ca="1" si="8"/>
        <v>Analisis Transportasi Perikanan</v>
      </c>
      <c r="E216" s="44">
        <f ca="1">IFERROR(VLOOKUP(A216,Mentah!D:J,7,FALSE),"")</f>
        <v>2</v>
      </c>
      <c r="F216" s="44" t="str">
        <f ca="1">IFERROR(VLOOKUP(A216,Mentah!D:K,8,FALSE),"")</f>
        <v>C453</v>
      </c>
      <c r="G216" s="35" t="str">
        <f t="shared" ca="1" si="2"/>
        <v>('TPL1532','Analisis Transportasi Perikanan','2','C453'),</v>
      </c>
    </row>
    <row r="217" spans="1:7" ht="12.5" x14ac:dyDescent="0.25">
      <c r="A217" s="9" t="str">
        <f ca="1">IFERROR(__xludf.DUMMYFUNCTION("""COMPUTED_VALUE"""),"TPL1552 - Teknik Analisis dan Optimasi Industri Perikanan Tangkap")</f>
        <v>TPL1552 - Teknik Analisis dan Optimasi Industri Perikanan Tangkap</v>
      </c>
      <c r="B217" s="44">
        <v>216</v>
      </c>
      <c r="C217" s="35" t="str">
        <f t="shared" ca="1" si="7"/>
        <v>TPL1552</v>
      </c>
      <c r="D217" s="35" t="str">
        <f t="shared" ca="1" si="8"/>
        <v>Teknik Analisis dan Optimasi Industri Perikanan Tangkap</v>
      </c>
      <c r="E217" s="44">
        <f ca="1">IFERROR(VLOOKUP(A217,Mentah!D:J,7,FALSE),"")</f>
        <v>2</v>
      </c>
      <c r="F217" s="44" t="str">
        <f ca="1">IFERROR(VLOOKUP(A217,Mentah!D:K,8,FALSE),"")</f>
        <v>C453</v>
      </c>
      <c r="G217" s="35" t="str">
        <f t="shared" ca="1" si="2"/>
        <v>('TPL1552','Teknik Analisis dan Optimasi Industri Perikanan Tangkap','2','C453'),</v>
      </c>
    </row>
    <row r="218" spans="1:7" ht="12.5" x14ac:dyDescent="0.25">
      <c r="A218" s="9" t="str">
        <f ca="1">IFERROR(__xludf.DUMMYFUNCTION("""COMPUTED_VALUE"""),"TPL1647 - Analisis Produksi dan Sistem Pendataan di Pelabuhanan")</f>
        <v>TPL1647 - Analisis Produksi dan Sistem Pendataan di Pelabuhanan</v>
      </c>
      <c r="B218" s="44">
        <v>217</v>
      </c>
      <c r="C218" s="35" t="str">
        <f t="shared" ca="1" si="7"/>
        <v>TPL1647</v>
      </c>
      <c r="D218" s="35" t="str">
        <f t="shared" ca="1" si="8"/>
        <v>Analisis Produksi dan Sistem Pendataan di Pelabuhanan</v>
      </c>
      <c r="E218" s="44">
        <f ca="1">IFERROR(VLOOKUP(A218,Mentah!D:J,7,FALSE),"")</f>
        <v>2</v>
      </c>
      <c r="F218" s="44" t="str">
        <f ca="1">IFERROR(VLOOKUP(A218,Mentah!D:K,8,FALSE),"")</f>
        <v>C453</v>
      </c>
      <c r="G218" s="35" t="str">
        <f t="shared" ca="1" si="2"/>
        <v>('TPL1647','Analisis Produksi dan Sistem Pendataan di Pelabuhanan','2','C453'),</v>
      </c>
    </row>
    <row r="219" spans="1:7" ht="12.5" x14ac:dyDescent="0.25">
      <c r="A219" s="9" t="str">
        <f ca="1">IFERROR(__xludf.DUMMYFUNCTION("""COMPUTED_VALUE"""),"TPL1545 - Pengelolaan Air Bersih dan Limbah Kepelabuhanan Perikanan")</f>
        <v>TPL1545 - Pengelolaan Air Bersih dan Limbah Kepelabuhanan Perikanan</v>
      </c>
      <c r="B219" s="44">
        <v>218</v>
      </c>
      <c r="C219" s="35" t="str">
        <f t="shared" ca="1" si="7"/>
        <v>TPL1545</v>
      </c>
      <c r="D219" s="35" t="str">
        <f t="shared" ca="1" si="8"/>
        <v>Pengelolaan Air Bersih dan Limbah Kepelabuhanan Perikanan</v>
      </c>
      <c r="E219" s="44">
        <f ca="1">IFERROR(VLOOKUP(A219,Mentah!D:J,7,FALSE),"")</f>
        <v>2</v>
      </c>
      <c r="F219" s="44" t="str">
        <f ca="1">IFERROR(VLOOKUP(A219,Mentah!D:K,8,FALSE),"")</f>
        <v>C453</v>
      </c>
      <c r="G219" s="35" t="str">
        <f t="shared" ca="1" si="2"/>
        <v>('TPL1545','Pengelolaan Air Bersih dan Limbah Kepelabuhanan Perikanan','2','C453'),</v>
      </c>
    </row>
    <row r="220" spans="1:7" ht="12.5" x14ac:dyDescent="0.25">
      <c r="A220" s="9" t="str">
        <f ca="1">IFERROR(__xludf.DUMMYFUNCTION("""COMPUTED_VALUE"""),"TPL1543 - Pengembangan Industri dan Teknologi Fasilitas Kepelabuhanan")</f>
        <v>TPL1543 - Pengembangan Industri dan Teknologi Fasilitas Kepelabuhanan</v>
      </c>
      <c r="B220" s="44">
        <v>219</v>
      </c>
      <c r="C220" s="35" t="str">
        <f t="shared" ca="1" si="7"/>
        <v>TPL1543</v>
      </c>
      <c r="D220" s="35" t="str">
        <f t="shared" ca="1" si="8"/>
        <v>Pengembangan Industri dan Teknologi Fasilitas Kepelabuhanan</v>
      </c>
      <c r="E220" s="44">
        <f ca="1">IFERROR(VLOOKUP(A220,Mentah!D:J,7,FALSE),"")</f>
        <v>2</v>
      </c>
      <c r="F220" s="44" t="str">
        <f ca="1">IFERROR(VLOOKUP(A220,Mentah!D:K,8,FALSE),"")</f>
        <v>C453</v>
      </c>
      <c r="G220" s="35" t="str">
        <f t="shared" ca="1" si="2"/>
        <v>('TPL1543','Pengembangan Industri dan Teknologi Fasilitas Kepelabuhanan','2','C453'),</v>
      </c>
    </row>
    <row r="221" spans="1:7" ht="12.5" x14ac:dyDescent="0.25">
      <c r="A221" s="9" t="str">
        <f ca="1">IFERROR(__xludf.DUMMYFUNCTION("""COMPUTED_VALUE"""),"TPL1637 - Keselamatan Kerja Perikanan Laut")</f>
        <v>TPL1637 - Keselamatan Kerja Perikanan Laut</v>
      </c>
      <c r="B221" s="44">
        <v>220</v>
      </c>
      <c r="C221" s="35" t="str">
        <f t="shared" ca="1" si="7"/>
        <v>TPL1637</v>
      </c>
      <c r="D221" s="35" t="str">
        <f t="shared" ca="1" si="8"/>
        <v>Keselamatan Kerja Perikanan Laut</v>
      </c>
      <c r="E221" s="44">
        <f ca="1">IFERROR(VLOOKUP(A221,Mentah!D:J,7,FALSE),"")</f>
        <v>2</v>
      </c>
      <c r="F221" s="44" t="str">
        <f ca="1">IFERROR(VLOOKUP(A221,Mentah!D:K,8,FALSE),"")</f>
        <v>C453</v>
      </c>
      <c r="G221" s="35" t="str">
        <f t="shared" ca="1" si="2"/>
        <v>('TPL1637','Keselamatan Kerja Perikanan Laut','2','C453'),</v>
      </c>
    </row>
    <row r="222" spans="1:7" ht="12.5" x14ac:dyDescent="0.25">
      <c r="A222" s="9" t="str">
        <f ca="1">IFERROR(__xludf.DUMMYFUNCTION("""COMPUTED_VALUE"""),"IKL1501 - Metode Penelitian")</f>
        <v>IKL1501 - Metode Penelitian</v>
      </c>
      <c r="B222" s="44">
        <v>221</v>
      </c>
      <c r="C222" s="35" t="str">
        <f t="shared" ca="1" si="7"/>
        <v>IKL1501</v>
      </c>
      <c r="D222" s="35" t="str">
        <f t="shared" ca="1" si="8"/>
        <v>Metode Penelitian</v>
      </c>
      <c r="E222" s="44">
        <f ca="1">IFERROR(VLOOKUP(A222,Mentah!D:J,7,FALSE),"")</f>
        <v>2</v>
      </c>
      <c r="F222" s="44" t="str">
        <f ca="1">IFERROR(VLOOKUP(A222,Mentah!D:K,8,FALSE),"")</f>
        <v>C551</v>
      </c>
      <c r="G222" s="35" t="str">
        <f t="shared" ca="1" si="2"/>
        <v>('IKL1501','Metode Penelitian','2','C551'),</v>
      </c>
    </row>
    <row r="223" spans="1:7" ht="12.5" x14ac:dyDescent="0.25">
      <c r="A223" s="9" t="str">
        <f ca="1">IFERROR(__xludf.DUMMYFUNCTION("""COMPUTED_VALUE"""),"IKL1523 - Dinamika Pantai dan Estuari")</f>
        <v>IKL1523 - Dinamika Pantai dan Estuari</v>
      </c>
      <c r="B223" s="44">
        <v>222</v>
      </c>
      <c r="C223" s="35" t="str">
        <f t="shared" ca="1" si="7"/>
        <v>IKL1523</v>
      </c>
      <c r="D223" s="35" t="str">
        <f t="shared" ca="1" si="8"/>
        <v>Dinamika Pantai dan Estuari</v>
      </c>
      <c r="E223" s="44">
        <f ca="1">IFERROR(VLOOKUP(A223,Mentah!D:J,7,FALSE),"")</f>
        <v>2</v>
      </c>
      <c r="F223" s="44" t="str">
        <f ca="1">IFERROR(VLOOKUP(A223,Mentah!D:K,8,FALSE),"")</f>
        <v>C551</v>
      </c>
      <c r="G223" s="35" t="str">
        <f t="shared" ca="1" si="2"/>
        <v>('IKL1523','Dinamika Pantai dan Estuari','2','C551'),</v>
      </c>
    </row>
    <row r="224" spans="1:7" ht="12.5" x14ac:dyDescent="0.25">
      <c r="A224" s="9" t="str">
        <f ca="1">IFERROR(__xludf.DUMMYFUNCTION("""COMPUTED_VALUE"""),"IKL1526 - Oseanografi Bio-Geologi")</f>
        <v>IKL1526 - Oseanografi Bio-Geologi</v>
      </c>
      <c r="B224" s="44">
        <v>223</v>
      </c>
      <c r="C224" s="35" t="str">
        <f t="shared" ca="1" si="7"/>
        <v>IKL1526</v>
      </c>
      <c r="D224" s="35" t="str">
        <f t="shared" ca="1" si="8"/>
        <v>Oseanografi Bio-Geologi</v>
      </c>
      <c r="E224" s="44">
        <f ca="1">IFERROR(VLOOKUP(A224,Mentah!D:J,7,FALSE),"")</f>
        <v>2</v>
      </c>
      <c r="F224" s="44" t="str">
        <f ca="1">IFERROR(VLOOKUP(A224,Mentah!D:K,8,FALSE),"")</f>
        <v>C551</v>
      </c>
      <c r="G224" s="35" t="str">
        <f t="shared" ca="1" si="2"/>
        <v>('IKL1526','Oseanografi Bio-Geologi','2','C551'),</v>
      </c>
    </row>
    <row r="225" spans="1:7" ht="12.5" x14ac:dyDescent="0.25">
      <c r="A225" s="9" t="str">
        <f ca="1">IFERROR(__xludf.DUMMYFUNCTION("""COMPUTED_VALUE"""),"IKL1611 - Adaptasi dan Mitigasi Ekosistem Laut")</f>
        <v>IKL1611 - Adaptasi dan Mitigasi Ekosistem Laut</v>
      </c>
      <c r="B225" s="44">
        <v>224</v>
      </c>
      <c r="C225" s="35" t="str">
        <f t="shared" ca="1" si="7"/>
        <v>IKL1611</v>
      </c>
      <c r="D225" s="35" t="str">
        <f t="shared" ca="1" si="8"/>
        <v>Adaptasi dan Mitigasi Ekosistem Laut</v>
      </c>
      <c r="E225" s="44">
        <f ca="1">IFERROR(VLOOKUP(A225,Mentah!D:J,7,FALSE),"")</f>
        <v>2</v>
      </c>
      <c r="F225" s="44" t="str">
        <f ca="1">IFERROR(VLOOKUP(A225,Mentah!D:K,8,FALSE),"")</f>
        <v>C551</v>
      </c>
      <c r="G225" s="35" t="str">
        <f t="shared" ca="1" si="2"/>
        <v>('IKL1611','Adaptasi dan Mitigasi Ekosistem Laut','2','C551'),</v>
      </c>
    </row>
    <row r="226" spans="1:7" ht="12.5" x14ac:dyDescent="0.25">
      <c r="A226" s="9" t="str">
        <f ca="1">IFERROR(__xludf.DUMMYFUNCTION("""COMPUTED_VALUE"""),"IKL1621 - Pemodelan Laut")</f>
        <v>IKL1621 - Pemodelan Laut</v>
      </c>
      <c r="B226" s="44">
        <v>225</v>
      </c>
      <c r="C226" s="35" t="str">
        <f t="shared" ca="1" si="7"/>
        <v>IKL1621</v>
      </c>
      <c r="D226" s="35" t="str">
        <f t="shared" ca="1" si="8"/>
        <v>Pemodelan Laut</v>
      </c>
      <c r="E226" s="44">
        <f ca="1">IFERROR(VLOOKUP(A226,Mentah!D:J,7,FALSE),"")</f>
        <v>2</v>
      </c>
      <c r="F226" s="44" t="str">
        <f ca="1">IFERROR(VLOOKUP(A226,Mentah!D:K,8,FALSE),"")</f>
        <v>C551</v>
      </c>
      <c r="G226" s="35" t="str">
        <f t="shared" ca="1" si="2"/>
        <v>('IKL1621','Pemodelan Laut','2','C551'),</v>
      </c>
    </row>
    <row r="227" spans="1:7" ht="12.5" x14ac:dyDescent="0.25">
      <c r="A227" s="9" t="str">
        <f ca="1">IFERROR(__xludf.DUMMYFUNCTION("""COMPUTED_VALUE"""),"IKL1625 - Oseanografi Perikanan")</f>
        <v>IKL1625 - Oseanografi Perikanan</v>
      </c>
      <c r="B227" s="44">
        <v>226</v>
      </c>
      <c r="C227" s="35" t="str">
        <f t="shared" ca="1" si="7"/>
        <v>IKL1625</v>
      </c>
      <c r="D227" s="35" t="str">
        <f t="shared" ca="1" si="8"/>
        <v>Oseanografi Perikanan</v>
      </c>
      <c r="E227" s="44">
        <f ca="1">IFERROR(VLOOKUP(A227,Mentah!D:J,7,FALSE),"")</f>
        <v>2</v>
      </c>
      <c r="F227" s="44" t="str">
        <f ca="1">IFERROR(VLOOKUP(A227,Mentah!D:K,8,FALSE),"")</f>
        <v>C551</v>
      </c>
      <c r="G227" s="35" t="str">
        <f t="shared" ca="1" si="2"/>
        <v>('IKL1625','Oseanografi Perikanan','2','C551'),</v>
      </c>
    </row>
    <row r="228" spans="1:7" ht="12.5" x14ac:dyDescent="0.25">
      <c r="A228" s="9" t="str">
        <f ca="1">IFERROR(__xludf.DUMMYFUNCTION("""COMPUTED_VALUE"""),"IKL1515 - Rehabilitasi Ekosistem Laut")</f>
        <v>IKL1515 - Rehabilitasi Ekosistem Laut</v>
      </c>
      <c r="B228" s="44">
        <v>227</v>
      </c>
      <c r="C228" s="35" t="str">
        <f t="shared" ca="1" si="7"/>
        <v>IKL1515</v>
      </c>
      <c r="D228" s="35" t="str">
        <f t="shared" ca="1" si="8"/>
        <v>Rehabilitasi Ekosistem Laut</v>
      </c>
      <c r="E228" s="44">
        <f ca="1">IFERROR(VLOOKUP(A228,Mentah!D:J,7,FALSE),"")</f>
        <v>2</v>
      </c>
      <c r="F228" s="44" t="str">
        <f ca="1">IFERROR(VLOOKUP(A228,Mentah!D:K,8,FALSE),"")</f>
        <v>C551</v>
      </c>
      <c r="G228" s="35" t="str">
        <f t="shared" ca="1" si="2"/>
        <v>('IKL1515','Rehabilitasi Ekosistem Laut','2','C551'),</v>
      </c>
    </row>
    <row r="229" spans="1:7" ht="12.5" x14ac:dyDescent="0.25">
      <c r="A229" s="9" t="str">
        <f ca="1">IFERROR(__xludf.DUMMYFUNCTION("""COMPUTED_VALUE"""),"IKL1626 - Dinamika Biogeokimia Laut")</f>
        <v>IKL1626 - Dinamika Biogeokimia Laut</v>
      </c>
      <c r="B229" s="44">
        <v>228</v>
      </c>
      <c r="C229" s="35" t="str">
        <f t="shared" ca="1" si="7"/>
        <v>IKL1626</v>
      </c>
      <c r="D229" s="35" t="str">
        <f t="shared" ca="1" si="8"/>
        <v>Dinamika Biogeokimia Laut</v>
      </c>
      <c r="E229" s="44">
        <f ca="1">IFERROR(VLOOKUP(A229,Mentah!D:J,7,FALSE),"")</f>
        <v>2</v>
      </c>
      <c r="F229" s="44" t="str">
        <f ca="1">IFERROR(VLOOKUP(A229,Mentah!D:K,8,FALSE),"")</f>
        <v>C551</v>
      </c>
      <c r="G229" s="35" t="str">
        <f t="shared" ca="1" si="2"/>
        <v>('IKL1626','Dinamika Biogeokimia Laut','2','C551'),</v>
      </c>
    </row>
    <row r="230" spans="1:7" ht="12.5" x14ac:dyDescent="0.25">
      <c r="A230" s="9" t="str">
        <f ca="1">IFERROR(__xludf.DUMMYFUNCTION("""COMPUTED_VALUE"""),"IKL1624 - Pencemaran Laut dan Transfer Polutan")</f>
        <v>IKL1624 - Pencemaran Laut dan Transfer Polutan</v>
      </c>
      <c r="B230" s="44">
        <v>229</v>
      </c>
      <c r="C230" s="35" t="str">
        <f t="shared" ca="1" si="7"/>
        <v>IKL1624</v>
      </c>
      <c r="D230" s="35" t="str">
        <f t="shared" ca="1" si="8"/>
        <v>Pencemaran Laut dan Transfer Polutan</v>
      </c>
      <c r="E230" s="44">
        <f ca="1">IFERROR(VLOOKUP(A230,Mentah!D:J,7,FALSE),"")</f>
        <v>2</v>
      </c>
      <c r="F230" s="44" t="str">
        <f ca="1">IFERROR(VLOOKUP(A230,Mentah!D:K,8,FALSE),"")</f>
        <v>C551</v>
      </c>
      <c r="G230" s="35" t="str">
        <f t="shared" ca="1" si="2"/>
        <v>('IKL1624','Pencemaran Laut dan Transfer Polutan','2','C551'),</v>
      </c>
    </row>
    <row r="231" spans="1:7" ht="12.5" x14ac:dyDescent="0.25">
      <c r="A231" s="9" t="str">
        <f ca="1">IFERROR(__xludf.DUMMYFUNCTION("""COMPUTED_VALUE"""),"IKL1612 - Analisis Filogenetik Organisme Laut")</f>
        <v>IKL1612 - Analisis Filogenetik Organisme Laut</v>
      </c>
      <c r="B231" s="44">
        <v>230</v>
      </c>
      <c r="C231" s="35" t="str">
        <f t="shared" ca="1" si="7"/>
        <v>IKL1612</v>
      </c>
      <c r="D231" s="35" t="str">
        <f t="shared" ca="1" si="8"/>
        <v>Analisis Filogenetik Organisme Laut</v>
      </c>
      <c r="E231" s="44">
        <f ca="1">IFERROR(VLOOKUP(A231,Mentah!D:J,7,FALSE),"")</f>
        <v>2</v>
      </c>
      <c r="F231" s="44" t="str">
        <f ca="1">IFERROR(VLOOKUP(A231,Mentah!D:K,8,FALSE),"")</f>
        <v>C551</v>
      </c>
      <c r="G231" s="35" t="str">
        <f t="shared" ca="1" si="2"/>
        <v>('IKL1612','Analisis Filogenetik Organisme Laut','2','C551'),</v>
      </c>
    </row>
    <row r="232" spans="1:7" ht="12.5" x14ac:dyDescent="0.25">
      <c r="A232" s="9" t="str">
        <f ca="1">IFERROR(__xludf.DUMMYFUNCTION("""COMPUTED_VALUE"""),"IKL1627 - Analitik dan Instrumentasi Oseanografi Kimiawi")</f>
        <v>IKL1627 - Analitik dan Instrumentasi Oseanografi Kimiawi</v>
      </c>
      <c r="B232" s="44">
        <v>231</v>
      </c>
      <c r="C232" s="35" t="str">
        <f t="shared" ca="1" si="7"/>
        <v>IKL1627</v>
      </c>
      <c r="D232" s="35" t="str">
        <f t="shared" ca="1" si="8"/>
        <v>Analitik dan Instrumentasi Oseanografi Kimiawi</v>
      </c>
      <c r="E232" s="44">
        <f ca="1">IFERROR(VLOOKUP(A232,Mentah!D:J,7,FALSE),"")</f>
        <v>2</v>
      </c>
      <c r="F232" s="44" t="str">
        <f ca="1">IFERROR(VLOOKUP(A232,Mentah!D:K,8,FALSE),"")</f>
        <v>C551</v>
      </c>
      <c r="G232" s="35" t="str">
        <f t="shared" ca="1" si="2"/>
        <v>('IKL1627','Analitik dan Instrumentasi Oseanografi Kimiawi','2','C551'),</v>
      </c>
    </row>
    <row r="233" spans="1:7" ht="12.5" x14ac:dyDescent="0.25">
      <c r="A233" s="9" t="str">
        <f ca="1">IFERROR(__xludf.DUMMYFUNCTION("""COMPUTED_VALUE"""),"IKL1524 - Dinamika Fluida Geofisik Eksperimen")</f>
        <v>IKL1524 - Dinamika Fluida Geofisik Eksperimen</v>
      </c>
      <c r="B233" s="44">
        <v>232</v>
      </c>
      <c r="C233" s="35" t="str">
        <f t="shared" ca="1" si="7"/>
        <v>IKL1524</v>
      </c>
      <c r="D233" s="35" t="str">
        <f t="shared" ca="1" si="8"/>
        <v>Dinamika Fluida Geofisik Eksperimen</v>
      </c>
      <c r="E233" s="44">
        <f ca="1">IFERROR(VLOOKUP(A233,Mentah!D:J,7,FALSE),"")</f>
        <v>2</v>
      </c>
      <c r="F233" s="44" t="str">
        <f ca="1">IFERROR(VLOOKUP(A233,Mentah!D:K,8,FALSE),"")</f>
        <v>C551</v>
      </c>
      <c r="G233" s="35" t="str">
        <f t="shared" ca="1" si="2"/>
        <v>('IKL1524','Dinamika Fluida Geofisik Eksperimen','2','C551'),</v>
      </c>
    </row>
    <row r="234" spans="1:7" ht="12.5" x14ac:dyDescent="0.25">
      <c r="A234" s="9" t="str">
        <f ca="1">IFERROR(__xludf.DUMMYFUNCTION("""COMPUTED_VALUE"""),"IKL1514 - Bioprospeksi dan Remediasi Kelautan")</f>
        <v>IKL1514 - Bioprospeksi dan Remediasi Kelautan</v>
      </c>
      <c r="B234" s="44">
        <v>233</v>
      </c>
      <c r="C234" s="35" t="str">
        <f t="shared" ca="1" si="7"/>
        <v>IKL1514</v>
      </c>
      <c r="D234" s="35" t="str">
        <f t="shared" ca="1" si="8"/>
        <v>Bioprospeksi dan Remediasi Kelautan</v>
      </c>
      <c r="E234" s="44">
        <f ca="1">IFERROR(VLOOKUP(A234,Mentah!D:J,7,FALSE),"")</f>
        <v>2</v>
      </c>
      <c r="F234" s="44" t="str">
        <f ca="1">IFERROR(VLOOKUP(A234,Mentah!D:K,8,FALSE),"")</f>
        <v>C551</v>
      </c>
      <c r="G234" s="35" t="str">
        <f t="shared" ca="1" si="2"/>
        <v>('IKL1514','Bioprospeksi dan Remediasi Kelautan','2','C551'),</v>
      </c>
    </row>
    <row r="235" spans="1:7" ht="12.5" x14ac:dyDescent="0.25">
      <c r="A235" s="9" t="str">
        <f ca="1">IFERROR(__xludf.DUMMYFUNCTION("""COMPUTED_VALUE"""),"IKL1623 - Teori Sirkulasi Samudera")</f>
        <v>IKL1623 - Teori Sirkulasi Samudera</v>
      </c>
      <c r="B235" s="44">
        <v>234</v>
      </c>
      <c r="C235" s="35" t="str">
        <f t="shared" ca="1" si="7"/>
        <v>IKL1623</v>
      </c>
      <c r="D235" s="35" t="str">
        <f t="shared" ca="1" si="8"/>
        <v>Teori Sirkulasi Samudera</v>
      </c>
      <c r="E235" s="44">
        <f ca="1">IFERROR(VLOOKUP(A235,Mentah!D:J,7,FALSE),"")</f>
        <v>2</v>
      </c>
      <c r="F235" s="44" t="str">
        <f ca="1">IFERROR(VLOOKUP(A235,Mentah!D:K,8,FALSE),"")</f>
        <v>C551</v>
      </c>
      <c r="G235" s="35" t="str">
        <f t="shared" ca="1" si="2"/>
        <v>('IKL1623','Teori Sirkulasi Samudera','2','C551'),</v>
      </c>
    </row>
    <row r="236" spans="1:7" ht="12.5" x14ac:dyDescent="0.25">
      <c r="A236" s="9" t="str">
        <f ca="1">IFERROR(__xludf.DUMMYFUNCTION("""COMPUTED_VALUE"""),"IKL1527 - Geokimia Laut")</f>
        <v>IKL1527 - Geokimia Laut</v>
      </c>
      <c r="B236" s="44">
        <v>235</v>
      </c>
      <c r="C236" s="35" t="str">
        <f t="shared" ca="1" si="7"/>
        <v>IKL1527</v>
      </c>
      <c r="D236" s="35" t="str">
        <f t="shared" ca="1" si="8"/>
        <v>Geokimia Laut</v>
      </c>
      <c r="E236" s="44">
        <f ca="1">IFERROR(VLOOKUP(A236,Mentah!D:J,7,FALSE),"")</f>
        <v>2</v>
      </c>
      <c r="F236" s="44" t="str">
        <f ca="1">IFERROR(VLOOKUP(A236,Mentah!D:K,8,FALSE),"")</f>
        <v>C551</v>
      </c>
      <c r="G236" s="35" t="str">
        <f t="shared" ca="1" si="2"/>
        <v>('IKL1527','Geokimia Laut','2','C551'),</v>
      </c>
    </row>
    <row r="237" spans="1:7" ht="12.5" x14ac:dyDescent="0.25">
      <c r="A237" s="9" t="str">
        <f ca="1">IFERROR(__xludf.DUMMYFUNCTION("""COMPUTED_VALUE"""),"IKL1622 - Metode Analisis Data Kelautan")</f>
        <v>IKL1622 - Metode Analisis Data Kelautan</v>
      </c>
      <c r="B237" s="44">
        <v>236</v>
      </c>
      <c r="C237" s="35" t="str">
        <f t="shared" ca="1" si="7"/>
        <v>IKL1622</v>
      </c>
      <c r="D237" s="35" t="str">
        <f t="shared" ca="1" si="8"/>
        <v>Metode Analisis Data Kelautan</v>
      </c>
      <c r="E237" s="44">
        <f ca="1">IFERROR(VLOOKUP(A237,Mentah!D:J,7,FALSE),"")</f>
        <v>2</v>
      </c>
      <c r="F237" s="44" t="str">
        <f ca="1">IFERROR(VLOOKUP(A237,Mentah!D:K,8,FALSE),"")</f>
        <v>C551</v>
      </c>
      <c r="G237" s="35" t="str">
        <f t="shared" ca="1" si="2"/>
        <v>('IKL1622','Metode Analisis Data Kelautan','2','C551'),</v>
      </c>
    </row>
    <row r="238" spans="1:7" ht="12.5" x14ac:dyDescent="0.25">
      <c r="A238" s="9" t="str">
        <f ca="1">IFERROR(__xludf.DUMMYFUNCTION("""COMPUTED_VALUE"""),"TEK1641 - Pengkajian Akurasi Pemetaan")</f>
        <v>TEK1641 - Pengkajian Akurasi Pemetaan</v>
      </c>
      <c r="B238" s="44">
        <v>237</v>
      </c>
      <c r="C238" s="35" t="str">
        <f t="shared" ca="1" si="7"/>
        <v>TEK1641</v>
      </c>
      <c r="D238" s="35" t="str">
        <f t="shared" ca="1" si="8"/>
        <v>Pengkajian Akurasi Pemetaan</v>
      </c>
      <c r="E238" s="44">
        <f ca="1">IFERROR(VLOOKUP(A238,Mentah!D:J,7,FALSE),"")</f>
        <v>2</v>
      </c>
      <c r="F238" s="44" t="str">
        <f ca="1">IFERROR(VLOOKUP(A238,Mentah!D:K,8,FALSE),"")</f>
        <v>C552</v>
      </c>
      <c r="G238" s="35" t="str">
        <f t="shared" ca="1" si="2"/>
        <v>('TEK1641','Pengkajian Akurasi Pemetaan','2','C552'),</v>
      </c>
    </row>
    <row r="239" spans="1:7" ht="12.5" x14ac:dyDescent="0.25">
      <c r="A239" s="9" t="str">
        <f ca="1">IFERROR(__xludf.DUMMYFUNCTION("""COMPUTED_VALUE"""),"TEK1634 - Sistem Siber-Fisik Kelautan")</f>
        <v>TEK1634 - Sistem Siber-Fisik Kelautan</v>
      </c>
      <c r="B239" s="44">
        <v>238</v>
      </c>
      <c r="C239" s="35" t="str">
        <f t="shared" ca="1" si="7"/>
        <v>TEK1634</v>
      </c>
      <c r="D239" s="35" t="str">
        <f t="shared" ca="1" si="8"/>
        <v>Sistem Siber-Fisik Kelautan</v>
      </c>
      <c r="E239" s="44">
        <f ca="1">IFERROR(VLOOKUP(A239,Mentah!D:J,7,FALSE),"")</f>
        <v>2</v>
      </c>
      <c r="F239" s="44" t="str">
        <f ca="1">IFERROR(VLOOKUP(A239,Mentah!D:K,8,FALSE),"")</f>
        <v>C552</v>
      </c>
      <c r="G239" s="35" t="str">
        <f t="shared" ca="1" si="2"/>
        <v>('TEK1634','Sistem Siber-Fisik Kelautan','2','C552'),</v>
      </c>
    </row>
    <row r="240" spans="1:7" ht="12.5" x14ac:dyDescent="0.25">
      <c r="A240" s="9" t="str">
        <f ca="1">IFERROR(__xludf.DUMMYFUNCTION("""COMPUTED_VALUE"""),"TEK1541 - Penginderaan Jauh Kelautan")</f>
        <v>TEK1541 - Penginderaan Jauh Kelautan</v>
      </c>
      <c r="B240" s="44">
        <v>239</v>
      </c>
      <c r="C240" s="35" t="str">
        <f t="shared" ca="1" si="7"/>
        <v>TEK1541</v>
      </c>
      <c r="D240" s="35" t="str">
        <f t="shared" ca="1" si="8"/>
        <v>Penginderaan Jauh Kelautan</v>
      </c>
      <c r="E240" s="44">
        <f ca="1">IFERROR(VLOOKUP(A240,Mentah!D:J,7,FALSE),"")</f>
        <v>2</v>
      </c>
      <c r="F240" s="44" t="str">
        <f ca="1">IFERROR(VLOOKUP(A240,Mentah!D:K,8,FALSE),"")</f>
        <v>C552</v>
      </c>
      <c r="G240" s="35" t="str">
        <f t="shared" ca="1" si="2"/>
        <v>('TEK1541','Penginderaan Jauh Kelautan','2','C552'),</v>
      </c>
    </row>
    <row r="241" spans="1:7" ht="12.5" x14ac:dyDescent="0.25">
      <c r="A241" s="9" t="str">
        <f ca="1">IFERROR(__xludf.DUMMYFUNCTION("""COMPUTED_VALUE"""),"TEK1635 - Kecerdasan Buatan Kelautan")</f>
        <v>TEK1635 - Kecerdasan Buatan Kelautan</v>
      </c>
      <c r="B241" s="44">
        <v>240</v>
      </c>
      <c r="C241" s="35" t="str">
        <f t="shared" ca="1" si="7"/>
        <v>TEK1635</v>
      </c>
      <c r="D241" s="35" t="str">
        <f t="shared" ca="1" si="8"/>
        <v>Kecerdasan Buatan Kelautan</v>
      </c>
      <c r="E241" s="44">
        <f ca="1">IFERROR(VLOOKUP(A241,Mentah!D:J,7,FALSE),"")</f>
        <v>2</v>
      </c>
      <c r="F241" s="44" t="str">
        <f ca="1">IFERROR(VLOOKUP(A241,Mentah!D:K,8,FALSE),"")</f>
        <v>C552</v>
      </c>
      <c r="G241" s="35" t="str">
        <f t="shared" ca="1" si="2"/>
        <v>('TEK1635','Kecerdasan Buatan Kelautan','2','C552'),</v>
      </c>
    </row>
    <row r="242" spans="1:7" ht="12.5" x14ac:dyDescent="0.25">
      <c r="A242" s="9" t="str">
        <f ca="1">IFERROR(__xludf.DUMMYFUNCTION("""COMPUTED_VALUE"""),"TEK1506 - Teknologi Kelautan")</f>
        <v>TEK1506 - Teknologi Kelautan</v>
      </c>
      <c r="B242" s="44">
        <v>241</v>
      </c>
      <c r="C242" s="35" t="str">
        <f t="shared" ca="1" si="7"/>
        <v>TEK1506</v>
      </c>
      <c r="D242" s="35" t="str">
        <f t="shared" ca="1" si="8"/>
        <v>Teknologi Kelautan</v>
      </c>
      <c r="E242" s="44">
        <f ca="1">IFERROR(VLOOKUP(A242,Mentah!D:J,7,FALSE),"")</f>
        <v>2</v>
      </c>
      <c r="F242" s="44" t="str">
        <f ca="1">IFERROR(VLOOKUP(A242,Mentah!D:K,8,FALSE),"")</f>
        <v>C552</v>
      </c>
      <c r="G242" s="35" t="str">
        <f t="shared" ca="1" si="2"/>
        <v>('TEK1506','Teknologi Kelautan','2','C552'),</v>
      </c>
    </row>
    <row r="243" spans="1:7" ht="12.5" x14ac:dyDescent="0.25">
      <c r="A243" s="9" t="str">
        <f ca="1">IFERROR(__xludf.DUMMYFUNCTION("""COMPUTED_VALUE"""),"TEK1531 - Analisis Numerik Kelautan")</f>
        <v>TEK1531 - Analisis Numerik Kelautan</v>
      </c>
      <c r="B243" s="44">
        <v>242</v>
      </c>
      <c r="C243" s="35" t="str">
        <f t="shared" ca="1" si="7"/>
        <v>TEK1531</v>
      </c>
      <c r="D243" s="35" t="str">
        <f t="shared" ca="1" si="8"/>
        <v>Analisis Numerik Kelautan</v>
      </c>
      <c r="E243" s="44">
        <f ca="1">IFERROR(VLOOKUP(A243,Mentah!D:J,7,FALSE),"")</f>
        <v>2</v>
      </c>
      <c r="F243" s="44" t="str">
        <f ca="1">IFERROR(VLOOKUP(A243,Mentah!D:K,8,FALSE),"")</f>
        <v>C552</v>
      </c>
      <c r="G243" s="35" t="str">
        <f t="shared" ca="1" si="2"/>
        <v>('TEK1531','Analisis Numerik Kelautan','2','C552'),</v>
      </c>
    </row>
    <row r="244" spans="1:7" ht="12.5" x14ac:dyDescent="0.25">
      <c r="A244" s="9" t="str">
        <f ca="1">IFERROR(__xludf.DUMMYFUNCTION("""COMPUTED_VALUE"""),"TEK1647 - Pemodelan Spasial")</f>
        <v>TEK1647 - Pemodelan Spasial</v>
      </c>
      <c r="B244" s="44">
        <v>243</v>
      </c>
      <c r="C244" s="35" t="str">
        <f t="shared" ca="1" si="7"/>
        <v>TEK1647</v>
      </c>
      <c r="D244" s="35" t="str">
        <f t="shared" ca="1" si="8"/>
        <v>Pemodelan Spasial</v>
      </c>
      <c r="E244" s="44">
        <f ca="1">IFERROR(VLOOKUP(A244,Mentah!D:J,7,FALSE),"")</f>
        <v>2</v>
      </c>
      <c r="F244" s="44" t="str">
        <f ca="1">IFERROR(VLOOKUP(A244,Mentah!D:K,8,FALSE),"")</f>
        <v>C552</v>
      </c>
      <c r="G244" s="35" t="str">
        <f t="shared" ca="1" si="2"/>
        <v>('TEK1647','Pemodelan Spasial','2','C552'),</v>
      </c>
    </row>
    <row r="245" spans="1:7" ht="12.5" x14ac:dyDescent="0.25">
      <c r="A245" s="9" t="str">
        <f ca="1">IFERROR(__xludf.DUMMYFUNCTION("""COMPUTED_VALUE"""),"TEK1642 - Algoritma Inderaja Kelautan")</f>
        <v>TEK1642 - Algoritma Inderaja Kelautan</v>
      </c>
      <c r="B245" s="44">
        <v>244</v>
      </c>
      <c r="C245" s="35" t="str">
        <f t="shared" ca="1" si="7"/>
        <v>TEK1642</v>
      </c>
      <c r="D245" s="35" t="str">
        <f t="shared" ca="1" si="8"/>
        <v>Algoritma Inderaja Kelautan</v>
      </c>
      <c r="E245" s="44">
        <f ca="1">IFERROR(VLOOKUP(A245,Mentah!D:J,7,FALSE),"")</f>
        <v>2</v>
      </c>
      <c r="F245" s="44" t="str">
        <f ca="1">IFERROR(VLOOKUP(A245,Mentah!D:K,8,FALSE),"")</f>
        <v>C552</v>
      </c>
      <c r="G245" s="35" t="str">
        <f t="shared" ca="1" si="2"/>
        <v>('TEK1642','Algoritma Inderaja Kelautan','2','C552'),</v>
      </c>
    </row>
    <row r="246" spans="1:7" ht="12.5" x14ac:dyDescent="0.25">
      <c r="A246" s="9" t="str">
        <f ca="1">IFERROR(__xludf.DUMMYFUNCTION("""COMPUTED_VALUE"""),"TEK1632 - Akustik Perikanan")</f>
        <v>TEK1632 - Akustik Perikanan</v>
      </c>
      <c r="B246" s="44">
        <v>245</v>
      </c>
      <c r="C246" s="35" t="str">
        <f t="shared" ca="1" si="7"/>
        <v>TEK1632</v>
      </c>
      <c r="D246" s="35" t="str">
        <f t="shared" ca="1" si="8"/>
        <v>Akustik Perikanan</v>
      </c>
      <c r="E246" s="44">
        <f ca="1">IFERROR(VLOOKUP(A246,Mentah!D:J,7,FALSE),"")</f>
        <v>2</v>
      </c>
      <c r="F246" s="44" t="str">
        <f ca="1">IFERROR(VLOOKUP(A246,Mentah!D:K,8,FALSE),"")</f>
        <v>C552</v>
      </c>
      <c r="G246" s="35" t="str">
        <f t="shared" ca="1" si="2"/>
        <v>('TEK1632','Akustik Perikanan','2','C552'),</v>
      </c>
    </row>
    <row r="247" spans="1:7" ht="12.5" x14ac:dyDescent="0.25">
      <c r="A247" s="9" t="str">
        <f ca="1">IFERROR(__xludf.DUMMYFUNCTION("""COMPUTED_VALUE"""),"ITP1512 - Sistem Produksi dan Ilmu Ternak Perah")</f>
        <v>ITP1512 - Sistem Produksi dan Ilmu Ternak Perah</v>
      </c>
      <c r="B247" s="44">
        <v>246</v>
      </c>
      <c r="C247" s="35" t="str">
        <f t="shared" ca="1" si="7"/>
        <v>ITP1512</v>
      </c>
      <c r="D247" s="35" t="str">
        <f t="shared" ca="1" si="8"/>
        <v>Sistem Produksi dan Ilmu Ternak Perah</v>
      </c>
      <c r="E247" s="44">
        <f ca="1">IFERROR(VLOOKUP(A247,Mentah!D:J,7,FALSE),"")</f>
        <v>2</v>
      </c>
      <c r="F247" s="44" t="str">
        <f ca="1">IFERROR(VLOOKUP(A247,Mentah!D:K,8,FALSE),"")</f>
        <v>D151</v>
      </c>
      <c r="G247" s="35" t="str">
        <f t="shared" ca="1" si="2"/>
        <v>('ITP1512','Sistem Produksi dan Ilmu Ternak Perah','2','D151'),</v>
      </c>
    </row>
    <row r="248" spans="1:7" ht="12.5" x14ac:dyDescent="0.25">
      <c r="A248" s="9" t="str">
        <f ca="1">IFERROR(__xludf.DUMMYFUNCTION("""COMPUTED_VALUE"""),"ITP1521 - Pertumbuhan dan Perkembangan Tubuh Ternak Pedaging")</f>
        <v>ITP1521 - Pertumbuhan dan Perkembangan Tubuh Ternak Pedaging</v>
      </c>
      <c r="B248" s="44">
        <v>247</v>
      </c>
      <c r="C248" s="35" t="str">
        <f t="shared" ca="1" si="7"/>
        <v>ITP1521</v>
      </c>
      <c r="D248" s="35" t="str">
        <f t="shared" ca="1" si="8"/>
        <v>Pertumbuhan dan Perkembangan Tubuh Ternak Pedaging</v>
      </c>
      <c r="E248" s="44">
        <f ca="1">IFERROR(VLOOKUP(A248,Mentah!D:J,7,FALSE),"")</f>
        <v>2</v>
      </c>
      <c r="F248" s="44" t="str">
        <f ca="1">IFERROR(VLOOKUP(A248,Mentah!D:K,8,FALSE),"")</f>
        <v>D151</v>
      </c>
      <c r="G248" s="35" t="str">
        <f t="shared" ca="1" si="2"/>
        <v>('ITP1521','Pertumbuhan dan Perkembangan Tubuh Ternak Pedaging','2','D151'),</v>
      </c>
    </row>
    <row r="249" spans="1:7" ht="12.5" x14ac:dyDescent="0.25">
      <c r="A249" s="9" t="str">
        <f ca="1">IFERROR(__xludf.DUMMYFUNCTION("""COMPUTED_VALUE"""),"ITP1532 - Sistem dan Rekayasa Penetasan")</f>
        <v>ITP1532 - Sistem dan Rekayasa Penetasan</v>
      </c>
      <c r="B249" s="44">
        <v>248</v>
      </c>
      <c r="C249" s="35" t="str">
        <f t="shared" ca="1" si="7"/>
        <v>ITP1532</v>
      </c>
      <c r="D249" s="35" t="str">
        <f t="shared" ca="1" si="8"/>
        <v>Sistem dan Rekayasa Penetasan</v>
      </c>
      <c r="E249" s="44">
        <f ca="1">IFERROR(VLOOKUP(A249,Mentah!D:J,7,FALSE),"")</f>
        <v>2</v>
      </c>
      <c r="F249" s="44" t="str">
        <f ca="1">IFERROR(VLOOKUP(A249,Mentah!D:K,8,FALSE),"")</f>
        <v>D151</v>
      </c>
      <c r="G249" s="35" t="str">
        <f t="shared" ca="1" si="2"/>
        <v>('ITP1532','Sistem dan Rekayasa Penetasan','2','D151'),</v>
      </c>
    </row>
    <row r="250" spans="1:7" ht="12.5" x14ac:dyDescent="0.25">
      <c r="A250" s="9" t="str">
        <f ca="1">IFERROR(__xludf.DUMMYFUNCTION("""COMPUTED_VALUE"""),"ITP1534 - Sistem Produksi Unggas Air")</f>
        <v>ITP1534 - Sistem Produksi Unggas Air</v>
      </c>
      <c r="B250" s="44">
        <v>249</v>
      </c>
      <c r="C250" s="35" t="str">
        <f t="shared" ca="1" si="7"/>
        <v>ITP1534</v>
      </c>
      <c r="D250" s="35" t="str">
        <f t="shared" ca="1" si="8"/>
        <v>Sistem Produksi Unggas Air</v>
      </c>
      <c r="E250" s="44">
        <f ca="1">IFERROR(VLOOKUP(A250,Mentah!D:J,7,FALSE),"")</f>
        <v>2</v>
      </c>
      <c r="F250" s="44" t="str">
        <f ca="1">IFERROR(VLOOKUP(A250,Mentah!D:K,8,FALSE),"")</f>
        <v>D151</v>
      </c>
      <c r="G250" s="35" t="str">
        <f t="shared" ca="1" si="2"/>
        <v>('ITP1534','Sistem Produksi Unggas Air','2','D151'),</v>
      </c>
    </row>
    <row r="251" spans="1:7" ht="12.5" x14ac:dyDescent="0.25">
      <c r="A251" s="9" t="str">
        <f ca="1">IFERROR(__xludf.DUMMYFUNCTION("""COMPUTED_VALUE"""),"ITP1542 - Genetika Populasi Hewan/Ternak")</f>
        <v>ITP1542 - Genetika Populasi Hewan/Ternak</v>
      </c>
      <c r="B251" s="44">
        <v>250</v>
      </c>
      <c r="C251" s="35" t="str">
        <f t="shared" ca="1" si="7"/>
        <v>ITP1542</v>
      </c>
      <c r="D251" s="35" t="str">
        <f t="shared" ca="1" si="8"/>
        <v>Genetika Populasi Hewan/Ternak</v>
      </c>
      <c r="E251" s="44">
        <f ca="1">IFERROR(VLOOKUP(A251,Mentah!D:J,7,FALSE),"")</f>
        <v>2</v>
      </c>
      <c r="F251" s="44" t="str">
        <f ca="1">IFERROR(VLOOKUP(A251,Mentah!D:K,8,FALSE),"")</f>
        <v>D151</v>
      </c>
      <c r="G251" s="35" t="str">
        <f t="shared" ca="1" si="2"/>
        <v>('ITP1542','Genetika Populasi Hewan/Ternak','2','D151'),</v>
      </c>
    </row>
    <row r="252" spans="1:7" ht="12.5" x14ac:dyDescent="0.25">
      <c r="A252" s="9" t="str">
        <f ca="1">IFERROR(__xludf.DUMMYFUNCTION("""COMPUTED_VALUE"""),"ITP1652 - Bioteknologi Hasil Ternak")</f>
        <v>ITP1652 - Bioteknologi Hasil Ternak</v>
      </c>
      <c r="B252" s="44">
        <v>251</v>
      </c>
      <c r="C252" s="35" t="str">
        <f t="shared" ca="1" si="7"/>
        <v>ITP1652</v>
      </c>
      <c r="D252" s="35" t="str">
        <f t="shared" ca="1" si="8"/>
        <v>Bioteknologi Hasil Ternak</v>
      </c>
      <c r="E252" s="44">
        <f ca="1">IFERROR(VLOOKUP(A252,Mentah!D:J,7,FALSE),"")</f>
        <v>2</v>
      </c>
      <c r="F252" s="44" t="str">
        <f ca="1">IFERROR(VLOOKUP(A252,Mentah!D:K,8,FALSE),"")</f>
        <v>D151</v>
      </c>
      <c r="G252" s="35" t="str">
        <f t="shared" ca="1" si="2"/>
        <v>('ITP1652','Bioteknologi Hasil Ternak','2','D151'),</v>
      </c>
    </row>
    <row r="253" spans="1:7" ht="12.5" x14ac:dyDescent="0.25">
      <c r="A253" s="9" t="str">
        <f ca="1">IFERROR(__xludf.DUMMYFUNCTION("""COMPUTED_VALUE"""),"ITP1653 - Kimia Proses Pengolahan Hasil Ternak")</f>
        <v>ITP1653 - Kimia Proses Pengolahan Hasil Ternak</v>
      </c>
      <c r="B253" s="44">
        <v>252</v>
      </c>
      <c r="C253" s="35" t="str">
        <f t="shared" ca="1" si="7"/>
        <v>ITP1653</v>
      </c>
      <c r="D253" s="35" t="str">
        <f t="shared" ca="1" si="8"/>
        <v>Kimia Proses Pengolahan Hasil Ternak</v>
      </c>
      <c r="E253" s="44">
        <f ca="1">IFERROR(VLOOKUP(A253,Mentah!D:J,7,FALSE),"")</f>
        <v>2</v>
      </c>
      <c r="F253" s="44" t="str">
        <f ca="1">IFERROR(VLOOKUP(A253,Mentah!D:K,8,FALSE),"")</f>
        <v>D151</v>
      </c>
      <c r="G253" s="35" t="str">
        <f t="shared" ca="1" si="2"/>
        <v>('ITP1653','Kimia Proses Pengolahan Hasil Ternak','2','D151'),</v>
      </c>
    </row>
    <row r="254" spans="1:7" ht="12.5" x14ac:dyDescent="0.25">
      <c r="A254" s="9" t="str">
        <f ca="1">IFERROR(__xludf.DUMMYFUNCTION("""COMPUTED_VALUE"""),"ITP1543 - Ilmu Pemuliaan Ternak")</f>
        <v>ITP1543 - Ilmu Pemuliaan Ternak</v>
      </c>
      <c r="B254" s="44">
        <v>253</v>
      </c>
      <c r="C254" s="35" t="str">
        <f t="shared" ca="1" si="7"/>
        <v>ITP1543</v>
      </c>
      <c r="D254" s="35" t="str">
        <f t="shared" ca="1" si="8"/>
        <v>Ilmu Pemuliaan Ternak</v>
      </c>
      <c r="E254" s="44">
        <f ca="1">IFERROR(VLOOKUP(A254,Mentah!D:J,7,FALSE),"")</f>
        <v>2</v>
      </c>
      <c r="F254" s="44" t="str">
        <f ca="1">IFERROR(VLOOKUP(A254,Mentah!D:K,8,FALSE),"")</f>
        <v>D151</v>
      </c>
      <c r="G254" s="35" t="str">
        <f t="shared" ca="1" si="2"/>
        <v>('ITP1543','Ilmu Pemuliaan Ternak','2','D151'),</v>
      </c>
    </row>
    <row r="255" spans="1:7" ht="12.5" x14ac:dyDescent="0.25">
      <c r="A255" s="9" t="str">
        <f ca="1">IFERROR(__xludf.DUMMYFUNCTION("""COMPUTED_VALUE"""),"ITP1533 - Sistem dan Disain Produksi Unggas")</f>
        <v>ITP1533 - Sistem dan Disain Produksi Unggas</v>
      </c>
      <c r="B255" s="44">
        <v>254</v>
      </c>
      <c r="C255" s="35" t="str">
        <f t="shared" ca="1" si="7"/>
        <v>ITP1533</v>
      </c>
      <c r="D255" s="35" t="str">
        <f t="shared" ca="1" si="8"/>
        <v>Sistem dan Disain Produksi Unggas</v>
      </c>
      <c r="E255" s="44">
        <f ca="1">IFERROR(VLOOKUP(A255,Mentah!D:J,7,FALSE),"")</f>
        <v>2</v>
      </c>
      <c r="F255" s="44" t="str">
        <f ca="1">IFERROR(VLOOKUP(A255,Mentah!D:K,8,FALSE),"")</f>
        <v>D151</v>
      </c>
      <c r="G255" s="35" t="str">
        <f t="shared" ca="1" si="2"/>
        <v>('ITP1533','Sistem dan Disain Produksi Unggas','2','D151'),</v>
      </c>
    </row>
    <row r="256" spans="1:7" ht="12.5" x14ac:dyDescent="0.25">
      <c r="A256" s="9" t="str">
        <f ca="1">IFERROR(__xludf.DUMMYFUNCTION("""COMPUTED_VALUE"""),"ITP1613 - Fisiologi Produksi Ternak Perah")</f>
        <v>ITP1613 - Fisiologi Produksi Ternak Perah</v>
      </c>
      <c r="B256" s="44">
        <v>255</v>
      </c>
      <c r="C256" s="35" t="str">
        <f t="shared" ca="1" si="7"/>
        <v>ITP1613</v>
      </c>
      <c r="D256" s="35" t="str">
        <f t="shared" ca="1" si="8"/>
        <v>Fisiologi Produksi Ternak Perah</v>
      </c>
      <c r="E256" s="44">
        <f ca="1">IFERROR(VLOOKUP(A256,Mentah!D:J,7,FALSE),"")</f>
        <v>2</v>
      </c>
      <c r="F256" s="44" t="str">
        <f ca="1">IFERROR(VLOOKUP(A256,Mentah!D:K,8,FALSE),"")</f>
        <v>D151</v>
      </c>
      <c r="G256" s="35" t="str">
        <f t="shared" ca="1" si="2"/>
        <v>('ITP1613','Fisiologi Produksi Ternak Perah','2','D151'),</v>
      </c>
    </row>
    <row r="257" spans="1:7" ht="12.5" x14ac:dyDescent="0.25">
      <c r="A257" s="9" t="str">
        <f ca="1">IFERROR(__xludf.DUMMYFUNCTION("""COMPUTED_VALUE"""),"ITP1622 - Ilmu Daging")</f>
        <v>ITP1622 - Ilmu Daging</v>
      </c>
      <c r="B257" s="44">
        <v>256</v>
      </c>
      <c r="C257" s="35" t="str">
        <f t="shared" ca="1" si="7"/>
        <v>ITP1622</v>
      </c>
      <c r="D257" s="35" t="str">
        <f t="shared" ca="1" si="8"/>
        <v>Ilmu Daging</v>
      </c>
      <c r="E257" s="44">
        <f ca="1">IFERROR(VLOOKUP(A257,Mentah!D:J,7,FALSE),"")</f>
        <v>2</v>
      </c>
      <c r="F257" s="44" t="str">
        <f ca="1">IFERROR(VLOOKUP(A257,Mentah!D:K,8,FALSE),"")</f>
        <v>D151</v>
      </c>
      <c r="G257" s="35" t="str">
        <f t="shared" ref="G257:G511" ca="1" si="9">CONCATENATE("('",C257,"','",D257,"','",E257,"','",F257,"'),")</f>
        <v>('ITP1622','Ilmu Daging','2','D151'),</v>
      </c>
    </row>
    <row r="258" spans="1:7" ht="12.5" x14ac:dyDescent="0.25">
      <c r="A258" s="9" t="str">
        <f ca="1">IFERROR(__xludf.DUMMYFUNCTION("""COMPUTED_VALUE"""),"ITP1625 - Sumberdaya Ternak Prospektif")</f>
        <v>ITP1625 - Sumberdaya Ternak Prospektif</v>
      </c>
      <c r="B258" s="44">
        <v>257</v>
      </c>
      <c r="C258" s="35" t="str">
        <f t="shared" ref="C258:C321" ca="1" si="10">IFERROR(LEFT(A258,7),"")</f>
        <v>ITP1625</v>
      </c>
      <c r="D258" s="35" t="str">
        <f t="shared" ref="D258:D321" ca="1" si="11">IFERROR(MID(A258,11,99),"")</f>
        <v>Sumberdaya Ternak Prospektif</v>
      </c>
      <c r="E258" s="44">
        <f ca="1">IFERROR(VLOOKUP(A258,Mentah!D:J,7,FALSE),"")</f>
        <v>2</v>
      </c>
      <c r="F258" s="44" t="str">
        <f ca="1">IFERROR(VLOOKUP(A258,Mentah!D:K,8,FALSE),"")</f>
        <v>D151</v>
      </c>
      <c r="G258" s="35" t="str">
        <f t="shared" ca="1" si="9"/>
        <v>('ITP1625','Sumberdaya Ternak Prospektif','2','D151'),</v>
      </c>
    </row>
    <row r="259" spans="1:7" ht="12.5" x14ac:dyDescent="0.25">
      <c r="A259" s="9" t="str">
        <f ca="1">IFERROR(__xludf.DUMMYFUNCTION("""COMPUTED_VALUE"""),"ITP1514 - Agribisnis Ternak Perah")</f>
        <v>ITP1514 - Agribisnis Ternak Perah</v>
      </c>
      <c r="B259" s="44">
        <v>258</v>
      </c>
      <c r="C259" s="35" t="str">
        <f t="shared" ca="1" si="10"/>
        <v>ITP1514</v>
      </c>
      <c r="D259" s="35" t="str">
        <f t="shared" ca="1" si="11"/>
        <v>Agribisnis Ternak Perah</v>
      </c>
      <c r="E259" s="44">
        <f ca="1">IFERROR(VLOOKUP(A259,Mentah!D:J,7,FALSE),"")</f>
        <v>2</v>
      </c>
      <c r="F259" s="44" t="str">
        <f ca="1">IFERROR(VLOOKUP(A259,Mentah!D:K,8,FALSE),"")</f>
        <v>D151</v>
      </c>
      <c r="G259" s="35" t="str">
        <f t="shared" ca="1" si="9"/>
        <v>('ITP1514','Agribisnis Ternak Perah','2','D151'),</v>
      </c>
    </row>
    <row r="260" spans="1:7" ht="12.5" x14ac:dyDescent="0.25">
      <c r="A260" s="9" t="str">
        <f ca="1">IFERROR(__xludf.DUMMYFUNCTION("""COMPUTED_VALUE"""),"ITP1523 - Pembiakan Ternak Pedaging")</f>
        <v>ITP1523 - Pembiakan Ternak Pedaging</v>
      </c>
      <c r="B260" s="44">
        <v>259</v>
      </c>
      <c r="C260" s="35" t="str">
        <f t="shared" ca="1" si="10"/>
        <v>ITP1523</v>
      </c>
      <c r="D260" s="35" t="str">
        <f t="shared" ca="1" si="11"/>
        <v>Pembiakan Ternak Pedaging</v>
      </c>
      <c r="E260" s="44">
        <f ca="1">IFERROR(VLOOKUP(A260,Mentah!D:J,7,FALSE),"")</f>
        <v>2</v>
      </c>
      <c r="F260" s="44" t="str">
        <f ca="1">IFERROR(VLOOKUP(A260,Mentah!D:K,8,FALSE),"")</f>
        <v>D151</v>
      </c>
      <c r="G260" s="35" t="str">
        <f t="shared" ca="1" si="9"/>
        <v>('ITP1523','Pembiakan Ternak Pedaging','2','D151'),</v>
      </c>
    </row>
    <row r="261" spans="1:7" ht="12.5" x14ac:dyDescent="0.25">
      <c r="A261" s="9" t="str">
        <f ca="1">IFERROR(__xludf.DUMMYFUNCTION("""COMPUTED_VALUE"""),"ITP1544 - Pemuliaan dalam Reproduksi Ternak")</f>
        <v>ITP1544 - Pemuliaan dalam Reproduksi Ternak</v>
      </c>
      <c r="B261" s="44">
        <v>260</v>
      </c>
      <c r="C261" s="35" t="str">
        <f t="shared" ca="1" si="10"/>
        <v>ITP1544</v>
      </c>
      <c r="D261" s="35" t="str">
        <f t="shared" ca="1" si="11"/>
        <v>Pemuliaan dalam Reproduksi Ternak</v>
      </c>
      <c r="E261" s="44">
        <f ca="1">IFERROR(VLOOKUP(A261,Mentah!D:J,7,FALSE),"")</f>
        <v>2</v>
      </c>
      <c r="F261" s="44" t="str">
        <f ca="1">IFERROR(VLOOKUP(A261,Mentah!D:K,8,FALSE),"")</f>
        <v>D151</v>
      </c>
      <c r="G261" s="35" t="str">
        <f t="shared" ca="1" si="9"/>
        <v>('ITP1544','Pemuliaan dalam Reproduksi Ternak','2','D151'),</v>
      </c>
    </row>
    <row r="262" spans="1:7" ht="12.5" x14ac:dyDescent="0.25">
      <c r="A262" s="9" t="str">
        <f ca="1">IFERROR(__xludf.DUMMYFUNCTION("""COMPUTED_VALUE"""),"ITP1636 - Pelestarian dan Pemanfaatan Unggas Hobi")</f>
        <v>ITP1636 - Pelestarian dan Pemanfaatan Unggas Hobi</v>
      </c>
      <c r="B262" s="44">
        <v>261</v>
      </c>
      <c r="C262" s="35" t="str">
        <f t="shared" ca="1" si="10"/>
        <v>ITP1636</v>
      </c>
      <c r="D262" s="35" t="str">
        <f t="shared" ca="1" si="11"/>
        <v>Pelestarian dan Pemanfaatan Unggas Hobi</v>
      </c>
      <c r="E262" s="44">
        <f ca="1">IFERROR(VLOOKUP(A262,Mentah!D:J,7,FALSE),"")</f>
        <v>2</v>
      </c>
      <c r="F262" s="44" t="str">
        <f ca="1">IFERROR(VLOOKUP(A262,Mentah!D:K,8,FALSE),"")</f>
        <v>D151</v>
      </c>
      <c r="G262" s="35" t="str">
        <f t="shared" ca="1" si="9"/>
        <v>('ITP1636','Pelestarian dan Pemanfaatan Unggas Hobi','2','D151'),</v>
      </c>
    </row>
    <row r="263" spans="1:7" ht="12.5" x14ac:dyDescent="0.25">
      <c r="A263" s="9" t="str">
        <f ca="1">IFERROR(__xludf.DUMMYFUNCTION("""COMPUTED_VALUE"""),"ITP1524 - Ilmu Tingkah Laku Ternak Pedaging")</f>
        <v>ITP1524 - Ilmu Tingkah Laku Ternak Pedaging</v>
      </c>
      <c r="B263" s="44">
        <v>262</v>
      </c>
      <c r="C263" s="35" t="str">
        <f t="shared" ca="1" si="10"/>
        <v>ITP1524</v>
      </c>
      <c r="D263" s="35" t="str">
        <f t="shared" ca="1" si="11"/>
        <v>Ilmu Tingkah Laku Ternak Pedaging</v>
      </c>
      <c r="E263" s="44">
        <f ca="1">IFERROR(VLOOKUP(A263,Mentah!D:J,7,FALSE),"")</f>
        <v>2</v>
      </c>
      <c r="F263" s="44" t="str">
        <f ca="1">IFERROR(VLOOKUP(A263,Mentah!D:K,8,FALSE),"")</f>
        <v>D151</v>
      </c>
      <c r="G263" s="35" t="str">
        <f t="shared" ca="1" si="9"/>
        <v>('ITP1524','Ilmu Tingkah Laku Ternak Pedaging','2','D151'),</v>
      </c>
    </row>
    <row r="264" spans="1:7" ht="12.5" x14ac:dyDescent="0.25">
      <c r="A264" s="9" t="str">
        <f ca="1">IFERROR(__xludf.DUMMYFUNCTION("""COMPUTED_VALUE"""),"ITP1545 - Sitogenetika Hewan/Ternak")</f>
        <v>ITP1545 - Sitogenetika Hewan/Ternak</v>
      </c>
      <c r="B264" s="44">
        <v>263</v>
      </c>
      <c r="C264" s="35" t="str">
        <f t="shared" ca="1" si="10"/>
        <v>ITP1545</v>
      </c>
      <c r="D264" s="35" t="str">
        <f t="shared" ca="1" si="11"/>
        <v>Sitogenetika Hewan/Ternak</v>
      </c>
      <c r="E264" s="44">
        <f ca="1">IFERROR(VLOOKUP(A264,Mentah!D:J,7,FALSE),"")</f>
        <v>2</v>
      </c>
      <c r="F264" s="44" t="str">
        <f ca="1">IFERROR(VLOOKUP(A264,Mentah!D:K,8,FALSE),"")</f>
        <v>D151</v>
      </c>
      <c r="G264" s="35" t="str">
        <f t="shared" ca="1" si="9"/>
        <v>('ITP1545','Sitogenetika Hewan/Ternak','2','D151'),</v>
      </c>
    </row>
    <row r="265" spans="1:7" ht="12.5" x14ac:dyDescent="0.25">
      <c r="A265" s="9" t="str">
        <f ca="1">IFERROR(__xludf.DUMMYFUNCTION("""COMPUTED_VALUE"""),"ITP1555 - Analisis Resiko Ternak dan Hasil Ternak")</f>
        <v>ITP1555 - Analisis Resiko Ternak dan Hasil Ternak</v>
      </c>
      <c r="B265" s="44">
        <v>264</v>
      </c>
      <c r="C265" s="35" t="str">
        <f t="shared" ca="1" si="10"/>
        <v>ITP1555</v>
      </c>
      <c r="D265" s="35" t="str">
        <f t="shared" ca="1" si="11"/>
        <v>Analisis Resiko Ternak dan Hasil Ternak</v>
      </c>
      <c r="E265" s="44">
        <f ca="1">IFERROR(VLOOKUP(A265,Mentah!D:J,7,FALSE),"")</f>
        <v>2</v>
      </c>
      <c r="F265" s="44" t="str">
        <f ca="1">IFERROR(VLOOKUP(A265,Mentah!D:K,8,FALSE),"")</f>
        <v>D151</v>
      </c>
      <c r="G265" s="35" t="str">
        <f t="shared" ca="1" si="9"/>
        <v>('ITP1555','Analisis Resiko Ternak dan Hasil Ternak','2','D151'),</v>
      </c>
    </row>
    <row r="266" spans="1:7" ht="12.5" x14ac:dyDescent="0.25">
      <c r="A266" s="9" t="str">
        <f ca="1">IFERROR(__xludf.DUMMYFUNCTION("""COMPUTED_VALUE"""),"ITP1557 - Komponen Bioaktif Hasil Ternak")</f>
        <v>ITP1557 - Komponen Bioaktif Hasil Ternak</v>
      </c>
      <c r="B266" s="44">
        <v>265</v>
      </c>
      <c r="C266" s="35" t="str">
        <f t="shared" ca="1" si="10"/>
        <v>ITP1557</v>
      </c>
      <c r="D266" s="35" t="str">
        <f t="shared" ca="1" si="11"/>
        <v>Komponen Bioaktif Hasil Ternak</v>
      </c>
      <c r="E266" s="44">
        <f ca="1">IFERROR(VLOOKUP(A266,Mentah!D:J,7,FALSE),"")</f>
        <v>2</v>
      </c>
      <c r="F266" s="44" t="str">
        <f ca="1">IFERROR(VLOOKUP(A266,Mentah!D:K,8,FALSE),"")</f>
        <v>D151</v>
      </c>
      <c r="G266" s="35" t="str">
        <f t="shared" ca="1" si="9"/>
        <v>('ITP1557','Komponen Bioaktif Hasil Ternak','2','D151'),</v>
      </c>
    </row>
    <row r="267" spans="1:7" ht="12.5" x14ac:dyDescent="0.25">
      <c r="A267" s="9" t="str">
        <f ca="1">IFERROR(__xludf.DUMMYFUNCTION("""COMPUTED_VALUE"""),"ITP1654 - Ilmu Pengelolaan Limbah Peternakan")</f>
        <v>ITP1654 - Ilmu Pengelolaan Limbah Peternakan</v>
      </c>
      <c r="B267" s="44">
        <v>266</v>
      </c>
      <c r="C267" s="35" t="str">
        <f t="shared" ca="1" si="10"/>
        <v>ITP1654</v>
      </c>
      <c r="D267" s="35" t="str">
        <f t="shared" ca="1" si="11"/>
        <v>Ilmu Pengelolaan Limbah Peternakan</v>
      </c>
      <c r="E267" s="44">
        <f ca="1">IFERROR(VLOOKUP(A267,Mentah!D:J,7,FALSE),"")</f>
        <v>2</v>
      </c>
      <c r="F267" s="44" t="str">
        <f ca="1">IFERROR(VLOOKUP(A267,Mentah!D:K,8,FALSE),"")</f>
        <v>D151</v>
      </c>
      <c r="G267" s="35" t="str">
        <f t="shared" ca="1" si="9"/>
        <v>('ITP1654','Ilmu Pengelolaan Limbah Peternakan','2','D151'),</v>
      </c>
    </row>
    <row r="268" spans="1:7" ht="12.5" x14ac:dyDescent="0.25">
      <c r="A268" s="9" t="str">
        <f ca="1">IFERROR(__xludf.DUMMYFUNCTION("""COMPUTED_VALUE"""),"INP1622 - Bioteknologi Pakan")</f>
        <v>INP1622 - Bioteknologi Pakan</v>
      </c>
      <c r="B268" s="44">
        <v>267</v>
      </c>
      <c r="C268" s="35" t="str">
        <f t="shared" ca="1" si="10"/>
        <v>INP1622</v>
      </c>
      <c r="D268" s="35" t="str">
        <f t="shared" ca="1" si="11"/>
        <v>Bioteknologi Pakan</v>
      </c>
      <c r="E268" s="44">
        <f ca="1">IFERROR(VLOOKUP(A268,Mentah!D:J,7,FALSE),"")</f>
        <v>2</v>
      </c>
      <c r="F268" s="44" t="str">
        <f ca="1">IFERROR(VLOOKUP(A268,Mentah!D:K,8,FALSE),"")</f>
        <v>D251</v>
      </c>
      <c r="G268" s="35" t="str">
        <f t="shared" ca="1" si="9"/>
        <v>('INP1622','Bioteknologi Pakan','2','D251'),</v>
      </c>
    </row>
    <row r="269" spans="1:7" ht="12.5" x14ac:dyDescent="0.25">
      <c r="A269" s="9" t="str">
        <f ca="1">IFERROR(__xludf.DUMMYFUNCTION("""COMPUTED_VALUE"""),"INP1633 - Teknik Pengendalian dan Sistem Jaminan Mutu Industri Pakan")</f>
        <v>INP1633 - Teknik Pengendalian dan Sistem Jaminan Mutu Industri Pakan</v>
      </c>
      <c r="B269" s="44">
        <v>268</v>
      </c>
      <c r="C269" s="35" t="str">
        <f t="shared" ca="1" si="10"/>
        <v>INP1633</v>
      </c>
      <c r="D269" s="35" t="str">
        <f t="shared" ca="1" si="11"/>
        <v>Teknik Pengendalian dan Sistem Jaminan Mutu Industri Pakan</v>
      </c>
      <c r="E269" s="44">
        <f ca="1">IFERROR(VLOOKUP(A269,Mentah!D:J,7,FALSE),"")</f>
        <v>2</v>
      </c>
      <c r="F269" s="44" t="str">
        <f ca="1">IFERROR(VLOOKUP(A269,Mentah!D:K,8,FALSE),"")</f>
        <v>D251</v>
      </c>
      <c r="G269" s="35" t="str">
        <f t="shared" ca="1" si="9"/>
        <v>('INP1633','Teknik Pengendalian dan Sistem Jaminan Mutu Industri Pakan','2','D251'),</v>
      </c>
    </row>
    <row r="270" spans="1:7" ht="12.5" x14ac:dyDescent="0.25">
      <c r="A270" s="9" t="str">
        <f ca="1">IFERROR(__xludf.DUMMYFUNCTION("""COMPUTED_VALUE"""),"INP1642 - Inovasi Nutrisi untuk Produk Unggas Unggul")</f>
        <v>INP1642 - Inovasi Nutrisi untuk Produk Unggas Unggul</v>
      </c>
      <c r="B270" s="44">
        <v>269</v>
      </c>
      <c r="C270" s="35" t="str">
        <f t="shared" ca="1" si="10"/>
        <v>INP1642</v>
      </c>
      <c r="D270" s="35" t="str">
        <f t="shared" ca="1" si="11"/>
        <v>Inovasi Nutrisi untuk Produk Unggas Unggul</v>
      </c>
      <c r="E270" s="44">
        <f ca="1">IFERROR(VLOOKUP(A270,Mentah!D:J,7,FALSE),"")</f>
        <v>2</v>
      </c>
      <c r="F270" s="44" t="str">
        <f ca="1">IFERROR(VLOOKUP(A270,Mentah!D:K,8,FALSE),"")</f>
        <v>D251</v>
      </c>
      <c r="G270" s="35" t="str">
        <f t="shared" ca="1" si="9"/>
        <v>('INP1642','Inovasi Nutrisi untuk Produk Unggas Unggul','2','D251'),</v>
      </c>
    </row>
    <row r="271" spans="1:7" ht="12.5" x14ac:dyDescent="0.25">
      <c r="A271" s="9" t="str">
        <f ca="1">IFERROR(__xludf.DUMMYFUNCTION("""COMPUTED_VALUE"""),"INP1592 - Analisis Data Kuantitatif")</f>
        <v>INP1592 - Analisis Data Kuantitatif</v>
      </c>
      <c r="B271" s="44">
        <v>270</v>
      </c>
      <c r="C271" s="35" t="str">
        <f t="shared" ca="1" si="10"/>
        <v>INP1592</v>
      </c>
      <c r="D271" s="35" t="str">
        <f t="shared" ca="1" si="11"/>
        <v>Analisis Data Kuantitatif</v>
      </c>
      <c r="E271" s="44">
        <f ca="1">IFERROR(VLOOKUP(A271,Mentah!D:J,7,FALSE),"")</f>
        <v>2</v>
      </c>
      <c r="F271" s="44" t="str">
        <f ca="1">IFERROR(VLOOKUP(A271,Mentah!D:K,8,FALSE),"")</f>
        <v>D251</v>
      </c>
      <c r="G271" s="35" t="str">
        <f t="shared" ca="1" si="9"/>
        <v>('INP1592','Analisis Data Kuantitatif','2','D251'),</v>
      </c>
    </row>
    <row r="272" spans="1:7" ht="12.5" x14ac:dyDescent="0.25">
      <c r="A272" s="9" t="str">
        <f ca="1">IFERROR(__xludf.DUMMYFUNCTION("""COMPUTED_VALUE"""),"INP1612 - Eksplorasi Plasmanutfah dan Bioteknologi Tumbuhan Pakan")</f>
        <v>INP1612 - Eksplorasi Plasmanutfah dan Bioteknologi Tumbuhan Pakan</v>
      </c>
      <c r="B272" s="44">
        <v>271</v>
      </c>
      <c r="C272" s="35" t="str">
        <f t="shared" ca="1" si="10"/>
        <v>INP1612</v>
      </c>
      <c r="D272" s="35" t="str">
        <f t="shared" ca="1" si="11"/>
        <v>Eksplorasi Plasmanutfah dan Bioteknologi Tumbuhan Pakan</v>
      </c>
      <c r="E272" s="44">
        <f ca="1">IFERROR(VLOOKUP(A272,Mentah!D:J,7,FALSE),"")</f>
        <v>2</v>
      </c>
      <c r="F272" s="44" t="str">
        <f ca="1">IFERROR(VLOOKUP(A272,Mentah!D:K,8,FALSE),"")</f>
        <v>D251</v>
      </c>
      <c r="G272" s="35" t="str">
        <f t="shared" ca="1" si="9"/>
        <v>('INP1612','Eksplorasi Plasmanutfah dan Bioteknologi Tumbuhan Pakan','2','D251'),</v>
      </c>
    </row>
    <row r="273" spans="1:7" ht="12.5" x14ac:dyDescent="0.25">
      <c r="A273" s="9" t="str">
        <f ca="1">IFERROR(__xludf.DUMMYFUNCTION("""COMPUTED_VALUE"""),"INP1632 - Inovasi Produk Pakan")</f>
        <v>INP1632 - Inovasi Produk Pakan</v>
      </c>
      <c r="B273" s="44">
        <v>272</v>
      </c>
      <c r="C273" s="35" t="str">
        <f t="shared" ca="1" si="10"/>
        <v>INP1632</v>
      </c>
      <c r="D273" s="35" t="str">
        <f t="shared" ca="1" si="11"/>
        <v>Inovasi Produk Pakan</v>
      </c>
      <c r="E273" s="44">
        <f ca="1">IFERROR(VLOOKUP(A273,Mentah!D:J,7,FALSE),"")</f>
        <v>2</v>
      </c>
      <c r="F273" s="44" t="str">
        <f ca="1">IFERROR(VLOOKUP(A273,Mentah!D:K,8,FALSE),"")</f>
        <v>D251</v>
      </c>
      <c r="G273" s="35" t="str">
        <f t="shared" ca="1" si="9"/>
        <v>('INP1632','Inovasi Produk Pakan','2','D251'),</v>
      </c>
    </row>
    <row r="274" spans="1:7" ht="12.5" x14ac:dyDescent="0.25">
      <c r="A274" s="9" t="str">
        <f ca="1">IFERROR(__xludf.DUMMYFUNCTION("""COMPUTED_VALUE"""),"INP1652 - Evaluasi Status Nutrisi Ternak Perah")</f>
        <v>INP1652 - Evaluasi Status Nutrisi Ternak Perah</v>
      </c>
      <c r="B274" s="44">
        <v>273</v>
      </c>
      <c r="C274" s="35" t="str">
        <f t="shared" ca="1" si="10"/>
        <v>INP1652</v>
      </c>
      <c r="D274" s="35" t="str">
        <f t="shared" ca="1" si="11"/>
        <v>Evaluasi Status Nutrisi Ternak Perah</v>
      </c>
      <c r="E274" s="44">
        <f ca="1">IFERROR(VLOOKUP(A274,Mentah!D:J,7,FALSE),"")</f>
        <v>2</v>
      </c>
      <c r="F274" s="44" t="str">
        <f ca="1">IFERROR(VLOOKUP(A274,Mentah!D:K,8,FALSE),"")</f>
        <v>D251</v>
      </c>
      <c r="G274" s="35" t="str">
        <f t="shared" ca="1" si="9"/>
        <v>('INP1652','Evaluasi Status Nutrisi Ternak Perah','2','D251'),</v>
      </c>
    </row>
    <row r="275" spans="1:7" ht="12.5" x14ac:dyDescent="0.25">
      <c r="A275" s="9" t="str">
        <f ca="1">IFERROR(__xludf.DUMMYFUNCTION("""COMPUTED_VALUE"""),"INP1662 - Rekayasa Nutrisi dan Produksi Daging Fungsional")</f>
        <v>INP1662 - Rekayasa Nutrisi dan Produksi Daging Fungsional</v>
      </c>
      <c r="B275" s="44">
        <v>274</v>
      </c>
      <c r="C275" s="35" t="str">
        <f t="shared" ca="1" si="10"/>
        <v>INP1662</v>
      </c>
      <c r="D275" s="35" t="str">
        <f t="shared" ca="1" si="11"/>
        <v>Rekayasa Nutrisi dan Produksi Daging Fungsional</v>
      </c>
      <c r="E275" s="44">
        <f ca="1">IFERROR(VLOOKUP(A275,Mentah!D:J,7,FALSE),"")</f>
        <v>2</v>
      </c>
      <c r="F275" s="44" t="str">
        <f ca="1">IFERROR(VLOOKUP(A275,Mentah!D:K,8,FALSE),"")</f>
        <v>D251</v>
      </c>
      <c r="G275" s="35" t="str">
        <f t="shared" ca="1" si="9"/>
        <v>('INP1662','Rekayasa Nutrisi dan Produksi Daging Fungsional','2','D251'),</v>
      </c>
    </row>
    <row r="276" spans="1:7" ht="12.5" x14ac:dyDescent="0.25">
      <c r="A276" s="9" t="str">
        <f ca="1">IFERROR(__xludf.DUMMYFUNCTION("""COMPUTED_VALUE"""),"INP1693 - Kolokium")</f>
        <v>INP1693 - Kolokium</v>
      </c>
      <c r="B276" s="44">
        <v>275</v>
      </c>
      <c r="C276" s="35" t="str">
        <f t="shared" ca="1" si="10"/>
        <v>INP1693</v>
      </c>
      <c r="D276" s="35" t="str">
        <f t="shared" ca="1" si="11"/>
        <v>Kolokium</v>
      </c>
      <c r="E276" s="44">
        <f ca="1">IFERROR(VLOOKUP(A276,Mentah!D:J,7,FALSE),"")</f>
        <v>2</v>
      </c>
      <c r="F276" s="44" t="str">
        <f ca="1">IFERROR(VLOOKUP(A276,Mentah!D:K,8,FALSE),"")</f>
        <v>D251</v>
      </c>
      <c r="G276" s="35" t="str">
        <f t="shared" ca="1" si="9"/>
        <v>('INP1693','Kolokium','2','D251'),</v>
      </c>
    </row>
    <row r="277" spans="1:7" ht="12.5" x14ac:dyDescent="0.25">
      <c r="A277" s="9" t="str">
        <f ca="1">IFERROR(__xludf.DUMMYFUNCTION("""COMPUTED_VALUE"""),"INP1613 - Evaluasi dan Instrumentasi Tumbuhan Pakan")</f>
        <v>INP1613 - Evaluasi dan Instrumentasi Tumbuhan Pakan</v>
      </c>
      <c r="B277" s="44">
        <v>276</v>
      </c>
      <c r="C277" s="35" t="str">
        <f t="shared" ca="1" si="10"/>
        <v>INP1613</v>
      </c>
      <c r="D277" s="35" t="str">
        <f t="shared" ca="1" si="11"/>
        <v>Evaluasi dan Instrumentasi Tumbuhan Pakan</v>
      </c>
      <c r="E277" s="44">
        <f ca="1">IFERROR(VLOOKUP(A277,Mentah!D:J,7,FALSE),"")</f>
        <v>2</v>
      </c>
      <c r="F277" s="44" t="str">
        <f ca="1">IFERROR(VLOOKUP(A277,Mentah!D:K,8,FALSE),"")</f>
        <v>D251</v>
      </c>
      <c r="G277" s="35" t="str">
        <f t="shared" ca="1" si="9"/>
        <v>('INP1613','Evaluasi dan Instrumentasi Tumbuhan Pakan','2','D251'),</v>
      </c>
    </row>
    <row r="278" spans="1:7" ht="12.5" x14ac:dyDescent="0.25">
      <c r="A278" s="9" t="str">
        <f ca="1">IFERROR(__xludf.DUMMYFUNCTION("""COMPUTED_VALUE"""),"INP1623 - Evaluasi Pakan")</f>
        <v>INP1623 - Evaluasi Pakan</v>
      </c>
      <c r="B278" s="44">
        <v>277</v>
      </c>
      <c r="C278" s="35" t="str">
        <f t="shared" ca="1" si="10"/>
        <v>INP1623</v>
      </c>
      <c r="D278" s="35" t="str">
        <f t="shared" ca="1" si="11"/>
        <v>Evaluasi Pakan</v>
      </c>
      <c r="E278" s="44">
        <f ca="1">IFERROR(VLOOKUP(A278,Mentah!D:J,7,FALSE),"")</f>
        <v>2</v>
      </c>
      <c r="F278" s="44" t="str">
        <f ca="1">IFERROR(VLOOKUP(A278,Mentah!D:K,8,FALSE),"")</f>
        <v>D251</v>
      </c>
      <c r="G278" s="35" t="str">
        <f t="shared" ca="1" si="9"/>
        <v>('INP1623','Evaluasi Pakan','2','D251'),</v>
      </c>
    </row>
    <row r="279" spans="1:7" ht="12.5" x14ac:dyDescent="0.25">
      <c r="A279" s="9" t="str">
        <f ca="1">IFERROR(__xludf.DUMMYFUNCTION("""COMPUTED_VALUE"""),"INP1663 - Ruminologi dan Biokonversi")</f>
        <v>INP1663 - Ruminologi dan Biokonversi</v>
      </c>
      <c r="B279" s="44">
        <v>278</v>
      </c>
      <c r="C279" s="35" t="str">
        <f t="shared" ca="1" si="10"/>
        <v>INP1663</v>
      </c>
      <c r="D279" s="35" t="str">
        <f t="shared" ca="1" si="11"/>
        <v>Ruminologi dan Biokonversi</v>
      </c>
      <c r="E279" s="44">
        <f ca="1">IFERROR(VLOOKUP(A279,Mentah!D:J,7,FALSE),"")</f>
        <v>2</v>
      </c>
      <c r="F279" s="44" t="str">
        <f ca="1">IFERROR(VLOOKUP(A279,Mentah!D:K,8,FALSE),"")</f>
        <v>D251</v>
      </c>
      <c r="G279" s="35" t="str">
        <f t="shared" ca="1" si="9"/>
        <v>('INP1663','Ruminologi dan Biokonversi','2','D251'),</v>
      </c>
    </row>
    <row r="280" spans="1:7" ht="12.5" x14ac:dyDescent="0.25">
      <c r="A280" s="9" t="str">
        <f ca="1">IFERROR(__xludf.DUMMYFUNCTION("""COMPUTED_VALUE"""),"INP1643 - Gangguan Nutrisi dan Metabolisme pada Unggas")</f>
        <v>INP1643 - Gangguan Nutrisi dan Metabolisme pada Unggas</v>
      </c>
      <c r="B280" s="44">
        <v>279</v>
      </c>
      <c r="C280" s="35" t="str">
        <f t="shared" ca="1" si="10"/>
        <v>INP1643</v>
      </c>
      <c r="D280" s="35" t="str">
        <f t="shared" ca="1" si="11"/>
        <v>Gangguan Nutrisi dan Metabolisme pada Unggas</v>
      </c>
      <c r="E280" s="44">
        <f ca="1">IFERROR(VLOOKUP(A280,Mentah!D:J,7,FALSE),"")</f>
        <v>2</v>
      </c>
      <c r="F280" s="44" t="str">
        <f ca="1">IFERROR(VLOOKUP(A280,Mentah!D:K,8,FALSE),"")</f>
        <v>D251</v>
      </c>
      <c r="G280" s="35" t="str">
        <f t="shared" ca="1" si="9"/>
        <v>('INP1643','Gangguan Nutrisi dan Metabolisme pada Unggas','2','D251'),</v>
      </c>
    </row>
    <row r="281" spans="1:7" ht="12.5" x14ac:dyDescent="0.25">
      <c r="A281" s="9" t="str">
        <f ca="1">IFERROR(__xludf.DUMMYFUNCTION("""COMPUTED_VALUE"""),"THH1501 - Metode Penelitian")</f>
        <v>THH1501 - Metode Penelitian</v>
      </c>
      <c r="B281" s="44">
        <v>280</v>
      </c>
      <c r="C281" s="35" t="str">
        <f t="shared" ca="1" si="10"/>
        <v>THH1501</v>
      </c>
      <c r="D281" s="35" t="str">
        <f t="shared" ca="1" si="11"/>
        <v>Metode Penelitian</v>
      </c>
      <c r="E281" s="44">
        <f ca="1">IFERROR(VLOOKUP(A281,Mentah!D:J,7,FALSE),"")</f>
        <v>2</v>
      </c>
      <c r="F281" s="44" t="str">
        <f ca="1">IFERROR(VLOOKUP(A281,Mentah!D:K,8,FALSE),"")</f>
        <v>E251</v>
      </c>
      <c r="G281" s="35" t="str">
        <f t="shared" ca="1" si="9"/>
        <v>('THH1501','Metode Penelitian','2','E251'),</v>
      </c>
    </row>
    <row r="282" spans="1:7" ht="12.5" x14ac:dyDescent="0.25">
      <c r="A282" s="9" t="str">
        <f ca="1">IFERROR(__xludf.DUMMYFUNCTION("""COMPUTED_VALUE"""),"THH1616 - Analisis Pemesinan")</f>
        <v>THH1616 - Analisis Pemesinan</v>
      </c>
      <c r="B282" s="44">
        <v>281</v>
      </c>
      <c r="C282" s="35" t="str">
        <f t="shared" ca="1" si="10"/>
        <v>THH1616</v>
      </c>
      <c r="D282" s="35" t="str">
        <f t="shared" ca="1" si="11"/>
        <v>Analisis Pemesinan</v>
      </c>
      <c r="E282" s="44">
        <f ca="1">IFERROR(VLOOKUP(A282,Mentah!D:J,7,FALSE),"")</f>
        <v>2</v>
      </c>
      <c r="F282" s="44" t="str">
        <f ca="1">IFERROR(VLOOKUP(A282,Mentah!D:K,8,FALSE),"")</f>
        <v>E251</v>
      </c>
      <c r="G282" s="35" t="str">
        <f t="shared" ca="1" si="9"/>
        <v>('THH1616','Analisis Pemesinan','2','E251'),</v>
      </c>
    </row>
    <row r="283" spans="1:7" ht="12.5" x14ac:dyDescent="0.25">
      <c r="A283" s="9" t="str">
        <f ca="1">IFERROR(__xludf.DUMMYFUNCTION("""COMPUTED_VALUE"""),"THH1531 - Mekanika Biomaterial")</f>
        <v>THH1531 - Mekanika Biomaterial</v>
      </c>
      <c r="B283" s="44">
        <v>282</v>
      </c>
      <c r="C283" s="35" t="str">
        <f t="shared" ca="1" si="10"/>
        <v>THH1531</v>
      </c>
      <c r="D283" s="35" t="str">
        <f t="shared" ca="1" si="11"/>
        <v>Mekanika Biomaterial</v>
      </c>
      <c r="E283" s="44">
        <f ca="1">IFERROR(VLOOKUP(A283,Mentah!D:J,7,FALSE),"")</f>
        <v>2</v>
      </c>
      <c r="F283" s="44" t="str">
        <f ca="1">IFERROR(VLOOKUP(A283,Mentah!D:K,8,FALSE),"")</f>
        <v>E251</v>
      </c>
      <c r="G283" s="35" t="str">
        <f t="shared" ca="1" si="9"/>
        <v>('THH1531','Mekanika Biomaterial','2','E251'),</v>
      </c>
    </row>
    <row r="284" spans="1:7" ht="12.5" x14ac:dyDescent="0.25">
      <c r="A284" s="9" t="str">
        <f ca="1">IFERROR(__xludf.DUMMYFUNCTION("""COMPUTED_VALUE"""),"THH1633 - Material Terbarukan pada Konstruksi Berkelanjutan")</f>
        <v>THH1633 - Material Terbarukan pada Konstruksi Berkelanjutan</v>
      </c>
      <c r="B284" s="44">
        <v>283</v>
      </c>
      <c r="C284" s="35" t="str">
        <f t="shared" ca="1" si="10"/>
        <v>THH1633</v>
      </c>
      <c r="D284" s="35" t="str">
        <f t="shared" ca="1" si="11"/>
        <v>Material Terbarukan pada Konstruksi Berkelanjutan</v>
      </c>
      <c r="E284" s="44">
        <f ca="1">IFERROR(VLOOKUP(A284,Mentah!D:J,7,FALSE),"")</f>
        <v>2</v>
      </c>
      <c r="F284" s="44" t="str">
        <f ca="1">IFERROR(VLOOKUP(A284,Mentah!D:K,8,FALSE),"")</f>
        <v>E251</v>
      </c>
      <c r="G284" s="35" t="str">
        <f t="shared" ca="1" si="9"/>
        <v>('THH1633','Material Terbarukan pada Konstruksi Berkelanjutan','2','E251'),</v>
      </c>
    </row>
    <row r="285" spans="1:7" ht="12.5" x14ac:dyDescent="0.25">
      <c r="A285" s="9" t="str">
        <f ca="1">IFERROR(__xludf.DUMMYFUNCTION("""COMPUTED_VALUE"""),"THH1601 - Biopolimer")</f>
        <v>THH1601 - Biopolimer</v>
      </c>
      <c r="B285" s="44">
        <v>284</v>
      </c>
      <c r="C285" s="35" t="str">
        <f t="shared" ca="1" si="10"/>
        <v>THH1601</v>
      </c>
      <c r="D285" s="35" t="str">
        <f t="shared" ca="1" si="11"/>
        <v>Biopolimer</v>
      </c>
      <c r="E285" s="44">
        <f ca="1">IFERROR(VLOOKUP(A285,Mentah!D:J,7,FALSE),"")</f>
        <v>2</v>
      </c>
      <c r="F285" s="44" t="str">
        <f ca="1">IFERROR(VLOOKUP(A285,Mentah!D:K,8,FALSE),"")</f>
        <v>E251</v>
      </c>
      <c r="G285" s="35" t="str">
        <f t="shared" ca="1" si="9"/>
        <v>('THH1601','Biopolimer','2','E251'),</v>
      </c>
    </row>
    <row r="286" spans="1:7" ht="12.5" x14ac:dyDescent="0.25">
      <c r="A286" s="9" t="str">
        <f ca="1">IFERROR(__xludf.DUMMYFUNCTION("""COMPUTED_VALUE"""),"THH1624 - Komposit Biomaterial Maju")</f>
        <v>THH1624 - Komposit Biomaterial Maju</v>
      </c>
      <c r="B286" s="44">
        <v>285</v>
      </c>
      <c r="C286" s="35" t="str">
        <f t="shared" ca="1" si="10"/>
        <v>THH1624</v>
      </c>
      <c r="D286" s="35" t="str">
        <f t="shared" ca="1" si="11"/>
        <v>Komposit Biomaterial Maju</v>
      </c>
      <c r="E286" s="44">
        <f ca="1">IFERROR(VLOOKUP(A286,Mentah!D:J,7,FALSE),"")</f>
        <v>2</v>
      </c>
      <c r="F286" s="44" t="str">
        <f ca="1">IFERROR(VLOOKUP(A286,Mentah!D:K,8,FALSE),"")</f>
        <v>E251</v>
      </c>
      <c r="G286" s="35" t="str">
        <f t="shared" ca="1" si="9"/>
        <v>('THH1624','Komposit Biomaterial Maju','2','E251'),</v>
      </c>
    </row>
    <row r="287" spans="1:7" ht="12.5" x14ac:dyDescent="0.25">
      <c r="A287" s="9" t="str">
        <f ca="1">IFERROR(__xludf.DUMMYFUNCTION("""COMPUTED_VALUE"""),"THH1502 - Perancangan Percobaan Hasil Hutan")</f>
        <v>THH1502 - Perancangan Percobaan Hasil Hutan</v>
      </c>
      <c r="B287" s="44">
        <v>286</v>
      </c>
      <c r="C287" s="35" t="str">
        <f t="shared" ca="1" si="10"/>
        <v>THH1502</v>
      </c>
      <c r="D287" s="35" t="str">
        <f t="shared" ca="1" si="11"/>
        <v>Perancangan Percobaan Hasil Hutan</v>
      </c>
      <c r="E287" s="44">
        <f ca="1">IFERROR(VLOOKUP(A287,Mentah!D:J,7,FALSE),"")</f>
        <v>2</v>
      </c>
      <c r="F287" s="44" t="str">
        <f ca="1">IFERROR(VLOOKUP(A287,Mentah!D:K,8,FALSE),"")</f>
        <v>E251</v>
      </c>
      <c r="G287" s="35" t="str">
        <f t="shared" ca="1" si="9"/>
        <v>('THH1502','Perancangan Percobaan Hasil Hutan','2','E251'),</v>
      </c>
    </row>
    <row r="288" spans="1:7" ht="12.5" x14ac:dyDescent="0.25">
      <c r="A288" s="9" t="str">
        <f ca="1">IFERROR(__xludf.DUMMYFUNCTION("""COMPUTED_VALUE"""),"THH1643 - Biorefineri Lignoselulosa")</f>
        <v>THH1643 - Biorefineri Lignoselulosa</v>
      </c>
      <c r="B288" s="44">
        <v>287</v>
      </c>
      <c r="C288" s="35" t="str">
        <f t="shared" ca="1" si="10"/>
        <v>THH1643</v>
      </c>
      <c r="D288" s="35" t="str">
        <f t="shared" ca="1" si="11"/>
        <v>Biorefineri Lignoselulosa</v>
      </c>
      <c r="E288" s="44">
        <f ca="1">IFERROR(VLOOKUP(A288,Mentah!D:J,7,FALSE),"")</f>
        <v>2</v>
      </c>
      <c r="F288" s="44" t="str">
        <f ca="1">IFERROR(VLOOKUP(A288,Mentah!D:K,8,FALSE),"")</f>
        <v>E251</v>
      </c>
      <c r="G288" s="35" t="str">
        <f t="shared" ca="1" si="9"/>
        <v>('THH1643','Biorefineri Lignoselulosa','2','E251'),</v>
      </c>
    </row>
    <row r="289" spans="1:7" ht="12.5" x14ac:dyDescent="0.25">
      <c r="A289" s="9" t="str">
        <f ca="1">IFERROR(__xludf.DUMMYFUNCTION("""COMPUTED_VALUE"""),"THH1651 - Optimasi dalam Industri Hasil Hutan")</f>
        <v>THH1651 - Optimasi dalam Industri Hasil Hutan</v>
      </c>
      <c r="B289" s="44">
        <v>288</v>
      </c>
      <c r="C289" s="35" t="str">
        <f t="shared" ca="1" si="10"/>
        <v>THH1651</v>
      </c>
      <c r="D289" s="35" t="str">
        <f t="shared" ca="1" si="11"/>
        <v>Optimasi dalam Industri Hasil Hutan</v>
      </c>
      <c r="E289" s="44">
        <f ca="1">IFERROR(VLOOKUP(A289,Mentah!D:J,7,FALSE),"")</f>
        <v>2</v>
      </c>
      <c r="F289" s="44" t="str">
        <f ca="1">IFERROR(VLOOKUP(A289,Mentah!D:K,8,FALSE),"")</f>
        <v>E251</v>
      </c>
      <c r="G289" s="35" t="str">
        <f t="shared" ca="1" si="9"/>
        <v>('THH1651','Optimasi dalam Industri Hasil Hutan','2','E251'),</v>
      </c>
    </row>
    <row r="290" spans="1:7" ht="12.5" x14ac:dyDescent="0.25">
      <c r="A290" s="9" t="str">
        <f ca="1">IFERROR(__xludf.DUMMYFUNCTION("""COMPUTED_VALUE"""),"THH1612 - Deteriorasi Kayu")</f>
        <v>THH1612 - Deteriorasi Kayu</v>
      </c>
      <c r="B290" s="44">
        <v>289</v>
      </c>
      <c r="C290" s="35" t="str">
        <f t="shared" ca="1" si="10"/>
        <v>THH1612</v>
      </c>
      <c r="D290" s="35" t="str">
        <f t="shared" ca="1" si="11"/>
        <v>Deteriorasi Kayu</v>
      </c>
      <c r="E290" s="44">
        <f ca="1">IFERROR(VLOOKUP(A290,Mentah!D:J,7,FALSE),"")</f>
        <v>2</v>
      </c>
      <c r="F290" s="44" t="str">
        <f ca="1">IFERROR(VLOOKUP(A290,Mentah!D:K,8,FALSE),"")</f>
        <v>E251</v>
      </c>
      <c r="G290" s="35" t="str">
        <f t="shared" ca="1" si="9"/>
        <v>('THH1612','Deteriorasi Kayu','2','E251'),</v>
      </c>
    </row>
    <row r="291" spans="1:7" ht="12.5" x14ac:dyDescent="0.25">
      <c r="A291" s="9" t="str">
        <f ca="1">IFERROR(__xludf.DUMMYFUNCTION("""COMPUTED_VALUE"""),"THH1602 - Modifikasi Biomaterial")</f>
        <v>THH1602 - Modifikasi Biomaterial</v>
      </c>
      <c r="B291" s="44">
        <v>290</v>
      </c>
      <c r="C291" s="35" t="str">
        <f t="shared" ca="1" si="10"/>
        <v>THH1602</v>
      </c>
      <c r="D291" s="35" t="str">
        <f t="shared" ca="1" si="11"/>
        <v>Modifikasi Biomaterial</v>
      </c>
      <c r="E291" s="44">
        <f ca="1">IFERROR(VLOOKUP(A291,Mentah!D:J,7,FALSE),"")</f>
        <v>2</v>
      </c>
      <c r="F291" s="44" t="str">
        <f ca="1">IFERROR(VLOOKUP(A291,Mentah!D:K,8,FALSE),"")</f>
        <v>E251</v>
      </c>
      <c r="G291" s="35" t="str">
        <f t="shared" ca="1" si="9"/>
        <v>('THH1602','Modifikasi Biomaterial','2','E251'),</v>
      </c>
    </row>
    <row r="292" spans="1:7" ht="12.5" x14ac:dyDescent="0.25">
      <c r="A292" s="9" t="str">
        <f ca="1">IFERROR(__xludf.DUMMYFUNCTION("""COMPUTED_VALUE"""),"THH1541 - Kimia Biomaterial")</f>
        <v>THH1541 - Kimia Biomaterial</v>
      </c>
      <c r="B292" s="44">
        <v>291</v>
      </c>
      <c r="C292" s="35" t="str">
        <f t="shared" ca="1" si="10"/>
        <v>THH1541</v>
      </c>
      <c r="D292" s="35" t="str">
        <f t="shared" ca="1" si="11"/>
        <v>Kimia Biomaterial</v>
      </c>
      <c r="E292" s="44">
        <f ca="1">IFERROR(VLOOKUP(A292,Mentah!D:J,7,FALSE),"")</f>
        <v>2</v>
      </c>
      <c r="F292" s="44" t="str">
        <f ca="1">IFERROR(VLOOKUP(A292,Mentah!D:K,8,FALSE),"")</f>
        <v>E251</v>
      </c>
      <c r="G292" s="35" t="str">
        <f t="shared" ca="1" si="9"/>
        <v>('THH1541','Kimia Biomaterial','2','E251'),</v>
      </c>
    </row>
    <row r="293" spans="1:7" ht="12.5" x14ac:dyDescent="0.25">
      <c r="A293" s="9" t="str">
        <f ca="1">IFERROR(__xludf.DUMMYFUNCTION("""COMPUTED_VALUE"""),"THH1632 - Nondestruktif Hasil Hutan")</f>
        <v>THH1632 - Nondestruktif Hasil Hutan</v>
      </c>
      <c r="B293" s="44">
        <v>292</v>
      </c>
      <c r="C293" s="35" t="str">
        <f t="shared" ca="1" si="10"/>
        <v>THH1632</v>
      </c>
      <c r="D293" s="35" t="str">
        <f t="shared" ca="1" si="11"/>
        <v>Nondestruktif Hasil Hutan</v>
      </c>
      <c r="E293" s="44">
        <f ca="1">IFERROR(VLOOKUP(A293,Mentah!D:J,7,FALSE),"")</f>
        <v>2</v>
      </c>
      <c r="F293" s="44" t="str">
        <f ca="1">IFERROR(VLOOKUP(A293,Mentah!D:K,8,FALSE),"")</f>
        <v>E251</v>
      </c>
      <c r="G293" s="35" t="str">
        <f t="shared" ca="1" si="9"/>
        <v>('THH1632','Nondestruktif Hasil Hutan','2','E251'),</v>
      </c>
    </row>
    <row r="294" spans="1:7" ht="12.5" x14ac:dyDescent="0.25">
      <c r="A294" s="9" t="str">
        <f ca="1">IFERROR(__xludf.DUMMYFUNCTION("""COMPUTED_VALUE"""),"THH150R - Ilmu Kayu")</f>
        <v>THH150R - Ilmu Kayu</v>
      </c>
      <c r="B294" s="44">
        <v>293</v>
      </c>
      <c r="C294" s="35" t="str">
        <f t="shared" ca="1" si="10"/>
        <v>THH150R</v>
      </c>
      <c r="D294" s="35" t="str">
        <f t="shared" ca="1" si="11"/>
        <v>Ilmu Kayu</v>
      </c>
      <c r="E294" s="44">
        <f ca="1">IFERROR(VLOOKUP(A294,Mentah!D:J,7,FALSE),"")</f>
        <v>2</v>
      </c>
      <c r="F294" s="44" t="str">
        <f ca="1">IFERROR(VLOOKUP(A294,Mentah!D:K,8,FALSE),"")</f>
        <v>E251</v>
      </c>
      <c r="G294" s="35" t="str">
        <f t="shared" ca="1" si="9"/>
        <v>('THH150R','Ilmu Kayu','2','E251'),</v>
      </c>
    </row>
    <row r="295" spans="1:7" ht="12.5" x14ac:dyDescent="0.25">
      <c r="A295" s="9" t="str">
        <f ca="1">IFERROR(__xludf.DUMMYFUNCTION("""COMPUTED_VALUE"""),"THH1511 - Fisika Biomaterial")</f>
        <v>THH1511 - Fisika Biomaterial</v>
      </c>
      <c r="B295" s="44">
        <v>294</v>
      </c>
      <c r="C295" s="35" t="str">
        <f t="shared" ca="1" si="10"/>
        <v>THH1511</v>
      </c>
      <c r="D295" s="35" t="str">
        <f t="shared" ca="1" si="11"/>
        <v>Fisika Biomaterial</v>
      </c>
      <c r="E295" s="44">
        <f ca="1">IFERROR(VLOOKUP(A295,Mentah!D:J,7,FALSE),"")</f>
        <v>2</v>
      </c>
      <c r="F295" s="44" t="str">
        <f ca="1">IFERROR(VLOOKUP(A295,Mentah!D:K,8,FALSE),"")</f>
        <v>E251</v>
      </c>
      <c r="G295" s="35" t="str">
        <f t="shared" ca="1" si="9"/>
        <v>('THH1511','Fisika Biomaterial','2','E251'),</v>
      </c>
    </row>
    <row r="296" spans="1:7" ht="12.5" x14ac:dyDescent="0.25">
      <c r="A296" s="9" t="str">
        <f ca="1">IFERROR(__xludf.DUMMYFUNCTION("""COMPUTED_VALUE"""),"KSH1502 - Metodologi Penelitian")</f>
        <v>KSH1502 - Metodologi Penelitian</v>
      </c>
      <c r="B296" s="44">
        <v>295</v>
      </c>
      <c r="C296" s="35" t="str">
        <f t="shared" ca="1" si="10"/>
        <v>KSH1502</v>
      </c>
      <c r="D296" s="35" t="str">
        <f t="shared" ca="1" si="11"/>
        <v>Metodologi Penelitian</v>
      </c>
      <c r="E296" s="44">
        <f ca="1">IFERROR(VLOOKUP(A296,Mentah!D:J,7,FALSE),"")</f>
        <v>2</v>
      </c>
      <c r="F296" s="44" t="str">
        <f ca="1">IFERROR(VLOOKUP(A296,Mentah!D:K,8,FALSE),"")</f>
        <v>E351</v>
      </c>
      <c r="G296" s="35" t="str">
        <f t="shared" ca="1" si="9"/>
        <v>('KSH1502','Metodologi Penelitian','2','E351'),</v>
      </c>
    </row>
    <row r="297" spans="1:7" ht="12.5" x14ac:dyDescent="0.25">
      <c r="A297" s="9" t="str">
        <f ca="1">IFERROR(__xludf.DUMMYFUNCTION("""COMPUTED_VALUE"""),"KSH1511 - Manajemen Biodiversitas")</f>
        <v>KSH1511 - Manajemen Biodiversitas</v>
      </c>
      <c r="B297" s="44">
        <v>296</v>
      </c>
      <c r="C297" s="35" t="str">
        <f t="shared" ca="1" si="10"/>
        <v>KSH1511</v>
      </c>
      <c r="D297" s="35" t="str">
        <f t="shared" ca="1" si="11"/>
        <v>Manajemen Biodiversitas</v>
      </c>
      <c r="E297" s="44">
        <f ca="1">IFERROR(VLOOKUP(A297,Mentah!D:J,7,FALSE),"")</f>
        <v>2</v>
      </c>
      <c r="F297" s="44" t="str">
        <f ca="1">IFERROR(VLOOKUP(A297,Mentah!D:K,8,FALSE),"")</f>
        <v>E351</v>
      </c>
      <c r="G297" s="35" t="str">
        <f t="shared" ca="1" si="9"/>
        <v>('KSH1511','Manajemen Biodiversitas','2','E351'),</v>
      </c>
    </row>
    <row r="298" spans="1:7" ht="12.5" x14ac:dyDescent="0.25">
      <c r="A298" s="9" t="str">
        <f ca="1">IFERROR(__xludf.DUMMYFUNCTION("""COMPUTED_VALUE"""),"KSH1656 - Pemasaran dan Promosi Ekowisata dan Jasa Lingkungan")</f>
        <v>KSH1656 - Pemasaran dan Promosi Ekowisata dan Jasa Lingkungan</v>
      </c>
      <c r="B298" s="44">
        <v>297</v>
      </c>
      <c r="C298" s="35" t="str">
        <f t="shared" ca="1" si="10"/>
        <v>KSH1656</v>
      </c>
      <c r="D298" s="35" t="str">
        <f t="shared" ca="1" si="11"/>
        <v>Pemasaran dan Promosi Ekowisata dan Jasa Lingkungan</v>
      </c>
      <c r="E298" s="44">
        <f ca="1">IFERROR(VLOOKUP(A298,Mentah!D:J,7,FALSE),"")</f>
        <v>2</v>
      </c>
      <c r="F298" s="44" t="str">
        <f ca="1">IFERROR(VLOOKUP(A298,Mentah!D:K,8,FALSE),"")</f>
        <v>E351</v>
      </c>
      <c r="G298" s="35" t="str">
        <f t="shared" ca="1" si="9"/>
        <v>('KSH1656','Pemasaran dan Promosi Ekowisata dan Jasa Lingkungan','2','E351'),</v>
      </c>
    </row>
    <row r="299" spans="1:7" ht="12.5" x14ac:dyDescent="0.25">
      <c r="A299" s="9" t="str">
        <f ca="1">IFERROR(__xludf.DUMMYFUNCTION("""COMPUTED_VALUE"""),"KSH1512 - Ekologi Kuantitatif Konservasi")</f>
        <v>KSH1512 - Ekologi Kuantitatif Konservasi</v>
      </c>
      <c r="B299" s="44">
        <v>298</v>
      </c>
      <c r="C299" s="35" t="str">
        <f t="shared" ca="1" si="10"/>
        <v>KSH1512</v>
      </c>
      <c r="D299" s="35" t="str">
        <f t="shared" ca="1" si="11"/>
        <v>Ekologi Kuantitatif Konservasi</v>
      </c>
      <c r="E299" s="44">
        <f ca="1">IFERROR(VLOOKUP(A299,Mentah!D:J,7,FALSE),"")</f>
        <v>2</v>
      </c>
      <c r="F299" s="44" t="str">
        <f ca="1">IFERROR(VLOOKUP(A299,Mentah!D:K,8,FALSE),"")</f>
        <v>E351</v>
      </c>
      <c r="G299" s="35" t="str">
        <f t="shared" ca="1" si="9"/>
        <v>('KSH1512','Ekologi Kuantitatif Konservasi','2','E351'),</v>
      </c>
    </row>
    <row r="300" spans="1:7" ht="12.5" x14ac:dyDescent="0.25">
      <c r="A300" s="9" t="str">
        <f ca="1">IFERROR(__xludf.DUMMYFUNCTION("""COMPUTED_VALUE"""),"KSH1541 - Manajemen Jasa Lingkungan")</f>
        <v>KSH1541 - Manajemen Jasa Lingkungan</v>
      </c>
      <c r="B300" s="44">
        <v>299</v>
      </c>
      <c r="C300" s="35" t="str">
        <f t="shared" ca="1" si="10"/>
        <v>KSH1541</v>
      </c>
      <c r="D300" s="35" t="str">
        <f t="shared" ca="1" si="11"/>
        <v>Manajemen Jasa Lingkungan</v>
      </c>
      <c r="E300" s="44">
        <f ca="1">IFERROR(VLOOKUP(A300,Mentah!D:J,7,FALSE),"")</f>
        <v>2</v>
      </c>
      <c r="F300" s="44" t="str">
        <f ca="1">IFERROR(VLOOKUP(A300,Mentah!D:K,8,FALSE),"")</f>
        <v>E351</v>
      </c>
      <c r="G300" s="35" t="str">
        <f t="shared" ca="1" si="9"/>
        <v>('KSH1541','Manajemen Jasa Lingkungan','2','E351'),</v>
      </c>
    </row>
    <row r="301" spans="1:7" ht="12.5" x14ac:dyDescent="0.25">
      <c r="A301" s="9" t="str">
        <f ca="1">IFERROR(__xludf.DUMMYFUNCTION("""COMPUTED_VALUE"""),"KSH1618 - Ekologi Komunitas")</f>
        <v>KSH1618 - Ekologi Komunitas</v>
      </c>
      <c r="B301" s="44">
        <v>300</v>
      </c>
      <c r="C301" s="35" t="str">
        <f t="shared" ca="1" si="10"/>
        <v>KSH1618</v>
      </c>
      <c r="D301" s="35" t="str">
        <f t="shared" ca="1" si="11"/>
        <v>Ekologi Komunitas</v>
      </c>
      <c r="E301" s="44">
        <f ca="1">IFERROR(VLOOKUP(A301,Mentah!D:J,7,FALSE),"")</f>
        <v>2</v>
      </c>
      <c r="F301" s="44" t="str">
        <f ca="1">IFERROR(VLOOKUP(A301,Mentah!D:K,8,FALSE),"")</f>
        <v>E351</v>
      </c>
      <c r="G301" s="35" t="str">
        <f t="shared" ca="1" si="9"/>
        <v>('KSH1618','Ekologi Komunitas','2','E351'),</v>
      </c>
    </row>
    <row r="302" spans="1:7" ht="12.5" x14ac:dyDescent="0.25">
      <c r="A302" s="9" t="str">
        <f ca="1">IFERROR(__xludf.DUMMYFUNCTION("""COMPUTED_VALUE"""),"KSH1623 - Bisnis Jasa Lingkungan dan Ekowisata")</f>
        <v>KSH1623 - Bisnis Jasa Lingkungan dan Ekowisata</v>
      </c>
      <c r="B302" s="44">
        <v>301</v>
      </c>
      <c r="C302" s="35" t="str">
        <f t="shared" ca="1" si="10"/>
        <v>KSH1623</v>
      </c>
      <c r="D302" s="35" t="str">
        <f t="shared" ca="1" si="11"/>
        <v>Bisnis Jasa Lingkungan dan Ekowisata</v>
      </c>
      <c r="E302" s="44">
        <f ca="1">IFERROR(VLOOKUP(A302,Mentah!D:J,7,FALSE),"")</f>
        <v>2</v>
      </c>
      <c r="F302" s="44" t="str">
        <f ca="1">IFERROR(VLOOKUP(A302,Mentah!D:K,8,FALSE),"")</f>
        <v>E351</v>
      </c>
      <c r="G302" s="35" t="str">
        <f t="shared" ca="1" si="9"/>
        <v>('KSH1623','Bisnis Jasa Lingkungan dan Ekowisata','2','E351'),</v>
      </c>
    </row>
    <row r="303" spans="1:7" ht="12.5" x14ac:dyDescent="0.25">
      <c r="A303" s="9" t="str">
        <f ca="1">IFERROR(__xludf.DUMMYFUNCTION("""COMPUTED_VALUE"""),"KSH1646 - Internet of Things (IoT) Konservasi")</f>
        <v>KSH1646 - Internet of Things (IoT) Konservasi</v>
      </c>
      <c r="B303" s="44">
        <v>302</v>
      </c>
      <c r="C303" s="35" t="str">
        <f t="shared" ca="1" si="10"/>
        <v>KSH1646</v>
      </c>
      <c r="D303" s="35" t="str">
        <f t="shared" ca="1" si="11"/>
        <v>Internet of Things (IoT) Konservasi</v>
      </c>
      <c r="E303" s="44">
        <f ca="1">IFERROR(VLOOKUP(A303,Mentah!D:J,7,FALSE),"")</f>
        <v>2</v>
      </c>
      <c r="F303" s="44" t="str">
        <f ca="1">IFERROR(VLOOKUP(A303,Mentah!D:K,8,FALSE),"")</f>
        <v>E351</v>
      </c>
      <c r="G303" s="35" t="str">
        <f t="shared" ca="1" si="9"/>
        <v>('KSH1646','Internet of Things (IoT) Konservasi','2','E351'),</v>
      </c>
    </row>
    <row r="304" spans="1:7" ht="12.5" x14ac:dyDescent="0.25">
      <c r="A304" s="9" t="str">
        <f ca="1">IFERROR(__xludf.DUMMYFUNCTION("""COMPUTED_VALUE"""),"KSH1655 - Manajemen Sumberdaya Ekowisata")</f>
        <v>KSH1655 - Manajemen Sumberdaya Ekowisata</v>
      </c>
      <c r="B304" s="44">
        <v>303</v>
      </c>
      <c r="C304" s="35" t="str">
        <f t="shared" ca="1" si="10"/>
        <v>KSH1655</v>
      </c>
      <c r="D304" s="35" t="str">
        <f t="shared" ca="1" si="11"/>
        <v>Manajemen Sumberdaya Ekowisata</v>
      </c>
      <c r="E304" s="44">
        <f ca="1">IFERROR(VLOOKUP(A304,Mentah!D:J,7,FALSE),"")</f>
        <v>2</v>
      </c>
      <c r="F304" s="44" t="str">
        <f ca="1">IFERROR(VLOOKUP(A304,Mentah!D:K,8,FALSE),"")</f>
        <v>E351</v>
      </c>
      <c r="G304" s="35" t="str">
        <f t="shared" ca="1" si="9"/>
        <v>('KSH1655','Manajemen Sumberdaya Ekowisata','2','E351'),</v>
      </c>
    </row>
    <row r="305" spans="1:7" ht="12.5" x14ac:dyDescent="0.25">
      <c r="A305" s="9" t="str">
        <f ca="1">IFERROR(__xludf.DUMMYFUNCTION("""COMPUTED_VALUE"""),"KSH1632 - Hutan dan Kesehatan Manusia")</f>
        <v>KSH1632 - Hutan dan Kesehatan Manusia</v>
      </c>
      <c r="B305" s="44">
        <v>304</v>
      </c>
      <c r="C305" s="35" t="str">
        <f t="shared" ca="1" si="10"/>
        <v>KSH1632</v>
      </c>
      <c r="D305" s="35" t="str">
        <f t="shared" ca="1" si="11"/>
        <v>Hutan dan Kesehatan Manusia</v>
      </c>
      <c r="E305" s="44">
        <f ca="1">IFERROR(VLOOKUP(A305,Mentah!D:J,7,FALSE),"")</f>
        <v>1</v>
      </c>
      <c r="F305" s="44" t="str">
        <f ca="1">IFERROR(VLOOKUP(A305,Mentah!D:K,8,FALSE),"")</f>
        <v>E351</v>
      </c>
      <c r="G305" s="35" t="str">
        <f t="shared" ca="1" si="9"/>
        <v>('KSH1632','Hutan dan Kesehatan Manusia','1','E351'),</v>
      </c>
    </row>
    <row r="306" spans="1:7" ht="12.5" x14ac:dyDescent="0.25">
      <c r="A306" s="9" t="str">
        <f ca="1">IFERROR(__xludf.DUMMYFUNCTION("""COMPUTED_VALUE"""),"KSH1642 - Bioklimatologi Lingkungan")</f>
        <v>KSH1642 - Bioklimatologi Lingkungan</v>
      </c>
      <c r="B306" s="44">
        <v>305</v>
      </c>
      <c r="C306" s="35" t="str">
        <f t="shared" ca="1" si="10"/>
        <v>KSH1642</v>
      </c>
      <c r="D306" s="35" t="str">
        <f t="shared" ca="1" si="11"/>
        <v>Bioklimatologi Lingkungan</v>
      </c>
      <c r="E306" s="44">
        <f ca="1">IFERROR(VLOOKUP(A306,Mentah!D:J,7,FALSE),"")</f>
        <v>2</v>
      </c>
      <c r="F306" s="44" t="str">
        <f ca="1">IFERROR(VLOOKUP(A306,Mentah!D:K,8,FALSE),"")</f>
        <v>E351</v>
      </c>
      <c r="G306" s="35" t="str">
        <f t="shared" ca="1" si="9"/>
        <v>('KSH1642','Bioklimatologi Lingkungan','2','E351'),</v>
      </c>
    </row>
    <row r="307" spans="1:7" ht="12.5" x14ac:dyDescent="0.25">
      <c r="A307" s="9" t="str">
        <f ca="1">IFERROR(__xludf.DUMMYFUNCTION("""COMPUTED_VALUE"""),"SVK1621 - Sistem Agroforestry")</f>
        <v>SVK1621 - Sistem Agroforestry</v>
      </c>
      <c r="B307" s="44">
        <v>306</v>
      </c>
      <c r="C307" s="35" t="str">
        <f t="shared" ca="1" si="10"/>
        <v>SVK1621</v>
      </c>
      <c r="D307" s="35" t="str">
        <f t="shared" ca="1" si="11"/>
        <v>Sistem Agroforestry</v>
      </c>
      <c r="E307" s="44">
        <f ca="1">IFERROR(VLOOKUP(A307,Mentah!D:J,7,FALSE),"")</f>
        <v>2</v>
      </c>
      <c r="F307" s="44" t="str">
        <f ca="1">IFERROR(VLOOKUP(A307,Mentah!D:K,8,FALSE),"")</f>
        <v>E451</v>
      </c>
      <c r="G307" s="35" t="str">
        <f t="shared" ca="1" si="9"/>
        <v>('SVK1621','Sistem Agroforestry','2','E451'),</v>
      </c>
    </row>
    <row r="308" spans="1:7" ht="12.5" x14ac:dyDescent="0.25">
      <c r="A308" s="9" t="str">
        <f ca="1">IFERROR(__xludf.DUMMYFUNCTION("""COMPUTED_VALUE"""),"SVK1501 - Metodologi Penelitian")</f>
        <v>SVK1501 - Metodologi Penelitian</v>
      </c>
      <c r="B308" s="44">
        <v>307</v>
      </c>
      <c r="C308" s="35" t="str">
        <f t="shared" ca="1" si="10"/>
        <v>SVK1501</v>
      </c>
      <c r="D308" s="35" t="str">
        <f t="shared" ca="1" si="11"/>
        <v>Metodologi Penelitian</v>
      </c>
      <c r="E308" s="44">
        <f ca="1">IFERROR(VLOOKUP(A308,Mentah!D:J,7,FALSE),"")</f>
        <v>2</v>
      </c>
      <c r="F308" s="44" t="str">
        <f ca="1">IFERROR(VLOOKUP(A308,Mentah!D:K,8,FALSE),"")</f>
        <v>E451</v>
      </c>
      <c r="G308" s="35" t="str">
        <f t="shared" ca="1" si="9"/>
        <v>('SVK1501','Metodologi Penelitian','2','E451'),</v>
      </c>
    </row>
    <row r="309" spans="1:7" ht="12.5" x14ac:dyDescent="0.25">
      <c r="A309" s="9" t="str">
        <f ca="1">IFERROR(__xludf.DUMMYFUNCTION("""COMPUTED_VALUE"""),"BOT1632 - Ekologi Sumberdaya Tropis")</f>
        <v>BOT1632 - Ekologi Sumberdaya Tropis</v>
      </c>
      <c r="B309" s="44">
        <v>308</v>
      </c>
      <c r="C309" s="35" t="str">
        <f t="shared" ca="1" si="10"/>
        <v>BOT1632</v>
      </c>
      <c r="D309" s="35" t="str">
        <f t="shared" ca="1" si="11"/>
        <v>Ekologi Sumberdaya Tropis</v>
      </c>
      <c r="E309" s="44">
        <f ca="1">IFERROR(VLOOKUP(A309,Mentah!D:J,7,FALSE),"")</f>
        <v>2</v>
      </c>
      <c r="F309" s="44" t="str">
        <f ca="1">IFERROR(VLOOKUP(A309,Mentah!D:K,8,FALSE),"")</f>
        <v>E451</v>
      </c>
      <c r="G309" s="35" t="str">
        <f t="shared" ca="1" si="9"/>
        <v>('BOT1632','Ekologi Sumberdaya Tropis','2','E451'),</v>
      </c>
    </row>
    <row r="310" spans="1:7" ht="12.5" x14ac:dyDescent="0.25">
      <c r="A310" s="9" t="str">
        <f ca="1">IFERROR(__xludf.DUMMYFUNCTION("""COMPUTED_VALUE"""),"SVK1634 - Jasad Renik Bagi Kesehatan Hutan")</f>
        <v>SVK1634 - Jasad Renik Bagi Kesehatan Hutan</v>
      </c>
      <c r="B310" s="44">
        <v>309</v>
      </c>
      <c r="C310" s="35" t="str">
        <f t="shared" ca="1" si="10"/>
        <v>SVK1634</v>
      </c>
      <c r="D310" s="35" t="str">
        <f t="shared" ca="1" si="11"/>
        <v>Jasad Renik Bagi Kesehatan Hutan</v>
      </c>
      <c r="E310" s="44">
        <f ca="1">IFERROR(VLOOKUP(A310,Mentah!D:J,7,FALSE),"")</f>
        <v>2</v>
      </c>
      <c r="F310" s="44" t="str">
        <f ca="1">IFERROR(VLOOKUP(A310,Mentah!D:K,8,FALSE),"")</f>
        <v>E451</v>
      </c>
      <c r="G310" s="35" t="str">
        <f t="shared" ca="1" si="9"/>
        <v>('SVK1634','Jasad Renik Bagi Kesehatan Hutan','2','E451'),</v>
      </c>
    </row>
    <row r="311" spans="1:7" ht="12.5" x14ac:dyDescent="0.25">
      <c r="A311" s="9" t="str">
        <f ca="1">IFERROR(__xludf.DUMMYFUNCTION("""COMPUTED_VALUE"""),"SVK1611 - Ekologi Restorasi")</f>
        <v>SVK1611 - Ekologi Restorasi</v>
      </c>
      <c r="B311" s="44">
        <v>310</v>
      </c>
      <c r="C311" s="35" t="str">
        <f t="shared" ca="1" si="10"/>
        <v>SVK1611</v>
      </c>
      <c r="D311" s="35" t="str">
        <f t="shared" ca="1" si="11"/>
        <v>Ekologi Restorasi</v>
      </c>
      <c r="E311" s="44">
        <f ca="1">IFERROR(VLOOKUP(A311,Mentah!D:J,7,FALSE),"")</f>
        <v>2</v>
      </c>
      <c r="F311" s="44" t="str">
        <f ca="1">IFERROR(VLOOKUP(A311,Mentah!D:K,8,FALSE),"")</f>
        <v>E451</v>
      </c>
      <c r="G311" s="35" t="str">
        <f t="shared" ca="1" si="9"/>
        <v>('SVK1611','Ekologi Restorasi','2','E451'),</v>
      </c>
    </row>
    <row r="312" spans="1:7" ht="12.5" x14ac:dyDescent="0.25">
      <c r="A312" s="9" t="str">
        <f ca="1">IFERROR(__xludf.DUMMYFUNCTION("""COMPUTED_VALUE"""),"SVK1521 - Silvikultur Hutan Tropika")</f>
        <v>SVK1521 - Silvikultur Hutan Tropika</v>
      </c>
      <c r="B312" s="44">
        <v>311</v>
      </c>
      <c r="C312" s="35" t="str">
        <f t="shared" ca="1" si="10"/>
        <v>SVK1521</v>
      </c>
      <c r="D312" s="35" t="str">
        <f t="shared" ca="1" si="11"/>
        <v>Silvikultur Hutan Tropika</v>
      </c>
      <c r="E312" s="44">
        <f ca="1">IFERROR(VLOOKUP(A312,Mentah!D:J,7,FALSE),"")</f>
        <v>2</v>
      </c>
      <c r="F312" s="44" t="str">
        <f ca="1">IFERROR(VLOOKUP(A312,Mentah!D:K,8,FALSE),"")</f>
        <v>E451</v>
      </c>
      <c r="G312" s="35" t="str">
        <f t="shared" ca="1" si="9"/>
        <v>('SVK1521','Silvikultur Hutan Tropika','2','E451'),</v>
      </c>
    </row>
    <row r="313" spans="1:7" ht="12.5" x14ac:dyDescent="0.25">
      <c r="A313" s="9" t="str">
        <f ca="1">IFERROR(__xludf.DUMMYFUNCTION("""COMPUTED_VALUE"""),"TPB1613 - Ergonomika dalam Perancangan Mesin Pertanian")</f>
        <v>TPB1613 - Ergonomika dalam Perancangan Mesin Pertanian</v>
      </c>
      <c r="B313" s="44">
        <v>312</v>
      </c>
      <c r="C313" s="35" t="str">
        <f t="shared" ca="1" si="10"/>
        <v>TPB1613</v>
      </c>
      <c r="D313" s="35" t="str">
        <f t="shared" ca="1" si="11"/>
        <v>Ergonomika dalam Perancangan Mesin Pertanian</v>
      </c>
      <c r="E313" s="44">
        <f ca="1">IFERROR(VLOOKUP(A313,Mentah!D:J,7,FALSE),"")</f>
        <v>2</v>
      </c>
      <c r="F313" s="44" t="str">
        <f ca="1">IFERROR(VLOOKUP(A313,Mentah!D:K,8,FALSE),"")</f>
        <v>F151</v>
      </c>
      <c r="G313" s="35" t="str">
        <f t="shared" ca="1" si="9"/>
        <v>('TPB1613','Ergonomika dalam Perancangan Mesin Pertanian','2','F151'),</v>
      </c>
    </row>
    <row r="314" spans="1:7" ht="12.5" x14ac:dyDescent="0.25">
      <c r="A314" s="9" t="str">
        <f ca="1">IFERROR(__xludf.DUMMYFUNCTION("""COMPUTED_VALUE"""),"TPB1606 - Analisis Konversi Energi Terbarukan")</f>
        <v>TPB1606 - Analisis Konversi Energi Terbarukan</v>
      </c>
      <c r="B314" s="44">
        <v>313</v>
      </c>
      <c r="C314" s="35" t="str">
        <f t="shared" ca="1" si="10"/>
        <v>TPB1606</v>
      </c>
      <c r="D314" s="35" t="str">
        <f t="shared" ca="1" si="11"/>
        <v>Analisis Konversi Energi Terbarukan</v>
      </c>
      <c r="E314" s="44">
        <f ca="1">IFERROR(VLOOKUP(A314,Mentah!D:J,7,FALSE),"")</f>
        <v>2</v>
      </c>
      <c r="F314" s="44" t="str">
        <f ca="1">IFERROR(VLOOKUP(A314,Mentah!D:K,8,FALSE),"")</f>
        <v>F151</v>
      </c>
      <c r="G314" s="35" t="str">
        <f t="shared" ca="1" si="9"/>
        <v>('TPB1606','Analisis Konversi Energi Terbarukan','2','F151'),</v>
      </c>
    </row>
    <row r="315" spans="1:7" ht="12.5" x14ac:dyDescent="0.25">
      <c r="A315" s="9" t="str">
        <f ca="1">IFERROR(__xludf.DUMMYFUNCTION("""COMPUTED_VALUE"""),"TPB1641 - Fenomena Transport")</f>
        <v>TPB1641 - Fenomena Transport</v>
      </c>
      <c r="B315" s="44">
        <v>314</v>
      </c>
      <c r="C315" s="35" t="str">
        <f t="shared" ca="1" si="10"/>
        <v>TPB1641</v>
      </c>
      <c r="D315" s="35" t="str">
        <f t="shared" ca="1" si="11"/>
        <v>Fenomena Transport</v>
      </c>
      <c r="E315" s="44">
        <f ca="1">IFERROR(VLOOKUP(A315,Mentah!D:J,7,FALSE),"")</f>
        <v>2</v>
      </c>
      <c r="F315" s="44" t="str">
        <f ca="1">IFERROR(VLOOKUP(A315,Mentah!D:K,8,FALSE),"")</f>
        <v>F151</v>
      </c>
      <c r="G315" s="35" t="str">
        <f t="shared" ca="1" si="9"/>
        <v>('TPB1641','Fenomena Transport','2','F151'),</v>
      </c>
    </row>
    <row r="316" spans="1:7" ht="12.5" x14ac:dyDescent="0.25">
      <c r="A316" s="9" t="str">
        <f ca="1">IFERROR(__xludf.DUMMYFUNCTION("""COMPUTED_VALUE"""),"TPB1642 - Rancangan Sistem Termal")</f>
        <v>TPB1642 - Rancangan Sistem Termal</v>
      </c>
      <c r="B316" s="44">
        <v>315</v>
      </c>
      <c r="C316" s="35" t="str">
        <f t="shared" ca="1" si="10"/>
        <v>TPB1642</v>
      </c>
      <c r="D316" s="35" t="str">
        <f t="shared" ca="1" si="11"/>
        <v>Rancangan Sistem Termal</v>
      </c>
      <c r="E316" s="44">
        <f ca="1">IFERROR(VLOOKUP(A316,Mentah!D:J,7,FALSE),"")</f>
        <v>2</v>
      </c>
      <c r="F316" s="44" t="str">
        <f ca="1">IFERROR(VLOOKUP(A316,Mentah!D:K,8,FALSE),"")</f>
        <v>F151</v>
      </c>
      <c r="G316" s="35" t="str">
        <f t="shared" ca="1" si="9"/>
        <v>('TPB1642','Rancangan Sistem Termal','2','F151'),</v>
      </c>
    </row>
    <row r="317" spans="1:7" ht="12.5" x14ac:dyDescent="0.25">
      <c r="A317" s="9" t="str">
        <f ca="1">IFERROR(__xludf.DUMMYFUNCTION("""COMPUTED_VALUE"""),"TPB1501 - Perancangan dan Pengujian")</f>
        <v>TPB1501 - Perancangan dan Pengujian</v>
      </c>
      <c r="B317" s="44">
        <v>316</v>
      </c>
      <c r="C317" s="35" t="str">
        <f t="shared" ca="1" si="10"/>
        <v>TPB1501</v>
      </c>
      <c r="D317" s="35" t="str">
        <f t="shared" ca="1" si="11"/>
        <v>Perancangan dan Pengujian</v>
      </c>
      <c r="E317" s="44">
        <f ca="1">IFERROR(VLOOKUP(A317,Mentah!D:J,7,FALSE),"")</f>
        <v>2</v>
      </c>
      <c r="F317" s="44" t="str">
        <f ca="1">IFERROR(VLOOKUP(A317,Mentah!D:K,8,FALSE),"")</f>
        <v>F151</v>
      </c>
      <c r="G317" s="35" t="str">
        <f t="shared" ca="1" si="9"/>
        <v>('TPB1501','Perancangan dan Pengujian','2','F151'),</v>
      </c>
    </row>
    <row r="318" spans="1:7" ht="12.5" x14ac:dyDescent="0.25">
      <c r="A318" s="9" t="str">
        <f ca="1">IFERROR(__xludf.DUMMYFUNCTION("""COMPUTED_VALUE"""),"TPB1614 - Kinematika dan Dinamika Mesin")</f>
        <v>TPB1614 - Kinematika dan Dinamika Mesin</v>
      </c>
      <c r="B318" s="44">
        <v>317</v>
      </c>
      <c r="C318" s="35" t="str">
        <f t="shared" ca="1" si="10"/>
        <v>TPB1614</v>
      </c>
      <c r="D318" s="35" t="str">
        <f t="shared" ca="1" si="11"/>
        <v>Kinematika dan Dinamika Mesin</v>
      </c>
      <c r="E318" s="44">
        <f ca="1">IFERROR(VLOOKUP(A318,Mentah!D:J,7,FALSE),"")</f>
        <v>2</v>
      </c>
      <c r="F318" s="44" t="str">
        <f ca="1">IFERROR(VLOOKUP(A318,Mentah!D:K,8,FALSE),"")</f>
        <v>F151</v>
      </c>
      <c r="G318" s="35" t="str">
        <f t="shared" ca="1" si="9"/>
        <v>('TPB1614','Kinematika dan Dinamika Mesin','2','F151'),</v>
      </c>
    </row>
    <row r="319" spans="1:7" ht="12.5" x14ac:dyDescent="0.25">
      <c r="A319" s="9" t="str">
        <f ca="1">IFERROR(__xludf.DUMMYFUNCTION("""COMPUTED_VALUE"""),"TPB1623 - Teknik Pengolahan Hasil Pertanian Lanjut")</f>
        <v>TPB1623 - Teknik Pengolahan Hasil Pertanian Lanjut</v>
      </c>
      <c r="B319" s="44">
        <v>318</v>
      </c>
      <c r="C319" s="35" t="str">
        <f t="shared" ca="1" si="10"/>
        <v>TPB1623</v>
      </c>
      <c r="D319" s="35" t="str">
        <f t="shared" ca="1" si="11"/>
        <v>Teknik Pengolahan Hasil Pertanian Lanjut</v>
      </c>
      <c r="E319" s="44">
        <f ca="1">IFERROR(VLOOKUP(A319,Mentah!D:J,7,FALSE),"")</f>
        <v>2</v>
      </c>
      <c r="F319" s="44" t="str">
        <f ca="1">IFERROR(VLOOKUP(A319,Mentah!D:K,8,FALSE),"")</f>
        <v>F151</v>
      </c>
      <c r="G319" s="35" t="str">
        <f t="shared" ca="1" si="9"/>
        <v>('TPB1623','Teknik Pengolahan Hasil Pertanian Lanjut','2','F151'),</v>
      </c>
    </row>
    <row r="320" spans="1:7" ht="12.5" x14ac:dyDescent="0.25">
      <c r="A320" s="9" t="str">
        <f ca="1">IFERROR(__xludf.DUMMYFUNCTION("""COMPUTED_VALUE"""),"TPB1621 - Teknik Pengeringan")</f>
        <v>TPB1621 - Teknik Pengeringan</v>
      </c>
      <c r="B320" s="44">
        <v>319</v>
      </c>
      <c r="C320" s="35" t="str">
        <f t="shared" ca="1" si="10"/>
        <v>TPB1621</v>
      </c>
      <c r="D320" s="35" t="str">
        <f t="shared" ca="1" si="11"/>
        <v>Teknik Pengeringan</v>
      </c>
      <c r="E320" s="44">
        <f ca="1">IFERROR(VLOOKUP(A320,Mentah!D:J,7,FALSE),"")</f>
        <v>2</v>
      </c>
      <c r="F320" s="44" t="str">
        <f ca="1">IFERROR(VLOOKUP(A320,Mentah!D:K,8,FALSE),"")</f>
        <v>F151</v>
      </c>
      <c r="G320" s="35" t="str">
        <f t="shared" ca="1" si="9"/>
        <v>('TPB1621','Teknik Pengeringan','2','F151'),</v>
      </c>
    </row>
    <row r="321" spans="1:7" ht="12.5" x14ac:dyDescent="0.25">
      <c r="A321" s="9" t="str">
        <f ca="1">IFERROR(__xludf.DUMMYFUNCTION("""COMPUTED_VALUE"""),"TPB1611 - Instrumentasi dan Kontrol Otomatik Berbasis IOT")</f>
        <v>TPB1611 - Instrumentasi dan Kontrol Otomatik Berbasis IOT</v>
      </c>
      <c r="B321" s="44">
        <v>320</v>
      </c>
      <c r="C321" s="35" t="str">
        <f t="shared" ca="1" si="10"/>
        <v>TPB1611</v>
      </c>
      <c r="D321" s="35" t="str">
        <f t="shared" ca="1" si="11"/>
        <v>Instrumentasi dan Kontrol Otomatik Berbasis IOT</v>
      </c>
      <c r="E321" s="44">
        <f ca="1">IFERROR(VLOOKUP(A321,Mentah!D:J,7,FALSE),"")</f>
        <v>2</v>
      </c>
      <c r="F321" s="44" t="str">
        <f ca="1">IFERROR(VLOOKUP(A321,Mentah!D:K,8,FALSE),"")</f>
        <v>F151</v>
      </c>
      <c r="G321" s="35" t="str">
        <f t="shared" ca="1" si="9"/>
        <v>('TPB1611','Instrumentasi dan Kontrol Otomatik Berbasis IOT','2','F151'),</v>
      </c>
    </row>
    <row r="322" spans="1:7" ht="12.5" x14ac:dyDescent="0.25">
      <c r="A322" s="9" t="str">
        <f ca="1">IFERROR(__xludf.DUMMYFUNCTION("""COMPUTED_VALUE"""),"TPB1612 - Interaksi Tanah dengan Mesin Pertanian")</f>
        <v>TPB1612 - Interaksi Tanah dengan Mesin Pertanian</v>
      </c>
      <c r="B322" s="44">
        <v>321</v>
      </c>
      <c r="C322" s="35" t="str">
        <f t="shared" ref="C322:C385" ca="1" si="12">IFERROR(LEFT(A322,7),"")</f>
        <v>TPB1612</v>
      </c>
      <c r="D322" s="35" t="str">
        <f t="shared" ref="D322:D385" ca="1" si="13">IFERROR(MID(A322,11,99),"")</f>
        <v>Interaksi Tanah dengan Mesin Pertanian</v>
      </c>
      <c r="E322" s="44">
        <f ca="1">IFERROR(VLOOKUP(A322,Mentah!D:J,7,FALSE),"")</f>
        <v>2</v>
      </c>
      <c r="F322" s="44" t="str">
        <f ca="1">IFERROR(VLOOKUP(A322,Mentah!D:K,8,FALSE),"")</f>
        <v>F151</v>
      </c>
      <c r="G322" s="35" t="str">
        <f t="shared" ca="1" si="9"/>
        <v>('TPB1612','Interaksi Tanah dengan Mesin Pertanian','2','F151'),</v>
      </c>
    </row>
    <row r="323" spans="1:7" ht="12.5" x14ac:dyDescent="0.25">
      <c r="A323" s="9" t="str">
        <f ca="1">IFERROR(__xludf.DUMMYFUNCTION("""COMPUTED_VALUE"""),"TPB1631 - Sistem Basis Data untuk Teknik Pertanian dan Biosistem")</f>
        <v>TPB1631 - Sistem Basis Data untuk Teknik Pertanian dan Biosistem</v>
      </c>
      <c r="B323" s="44">
        <v>322</v>
      </c>
      <c r="C323" s="35" t="str">
        <f t="shared" ca="1" si="12"/>
        <v>TPB1631</v>
      </c>
      <c r="D323" s="35" t="str">
        <f t="shared" ca="1" si="13"/>
        <v>Sistem Basis Data untuk Teknik Pertanian dan Biosistem</v>
      </c>
      <c r="E323" s="44">
        <f ca="1">IFERROR(VLOOKUP(A323,Mentah!D:J,7,FALSE),"")</f>
        <v>2</v>
      </c>
      <c r="F323" s="44" t="str">
        <f ca="1">IFERROR(VLOOKUP(A323,Mentah!D:K,8,FALSE),"")</f>
        <v>F151</v>
      </c>
      <c r="G323" s="35" t="str">
        <f t="shared" ca="1" si="9"/>
        <v>('TPB1631','Sistem Basis Data untuk Teknik Pertanian dan Biosistem','2','F151'),</v>
      </c>
    </row>
    <row r="324" spans="1:7" ht="12.5" x14ac:dyDescent="0.25">
      <c r="A324" s="9" t="str">
        <f ca="1">IFERROR(__xludf.DUMMYFUNCTION("""COMPUTED_VALUE"""),"TPB1643 - Teknik Konversi Bioenergi untuk Mesin Pertanian")</f>
        <v>TPB1643 - Teknik Konversi Bioenergi untuk Mesin Pertanian</v>
      </c>
      <c r="B324" s="44">
        <v>323</v>
      </c>
      <c r="C324" s="35" t="str">
        <f t="shared" ca="1" si="12"/>
        <v>TPB1643</v>
      </c>
      <c r="D324" s="35" t="str">
        <f t="shared" ca="1" si="13"/>
        <v>Teknik Konversi Bioenergi untuk Mesin Pertanian</v>
      </c>
      <c r="E324" s="44">
        <f ca="1">IFERROR(VLOOKUP(A324,Mentah!D:J,7,FALSE),"")</f>
        <v>2</v>
      </c>
      <c r="F324" s="44" t="str">
        <f ca="1">IFERROR(VLOOKUP(A324,Mentah!D:K,8,FALSE),"")</f>
        <v>F151</v>
      </c>
      <c r="G324" s="35" t="str">
        <f t="shared" ca="1" si="9"/>
        <v>('TPB1643','Teknik Konversi Bioenergi untuk Mesin Pertanian','2','F151'),</v>
      </c>
    </row>
    <row r="325" spans="1:7" ht="12.5" x14ac:dyDescent="0.25">
      <c r="A325" s="9" t="str">
        <f ca="1">IFERROR(__xludf.DUMMYFUNCTION("""COMPUTED_VALUE"""),"TPB1605 - Analisis dan Evaluasi Proyek Teknik Pertanian dan Biosistem")</f>
        <v>TPB1605 - Analisis dan Evaluasi Proyek Teknik Pertanian dan Biosistem</v>
      </c>
      <c r="B325" s="44">
        <v>324</v>
      </c>
      <c r="C325" s="35" t="str">
        <f t="shared" ca="1" si="12"/>
        <v>TPB1605</v>
      </c>
      <c r="D325" s="35" t="str">
        <f t="shared" ca="1" si="13"/>
        <v>Analisis dan Evaluasi Proyek Teknik Pertanian dan Biosistem</v>
      </c>
      <c r="E325" s="44">
        <f ca="1">IFERROR(VLOOKUP(A325,Mentah!D:J,7,FALSE),"")</f>
        <v>2</v>
      </c>
      <c r="F325" s="44" t="str">
        <f ca="1">IFERROR(VLOOKUP(A325,Mentah!D:K,8,FALSE),"")</f>
        <v>F151</v>
      </c>
      <c r="G325" s="35" t="str">
        <f t="shared" ca="1" si="9"/>
        <v>('TPB1605','Analisis dan Evaluasi Proyek Teknik Pertanian dan Biosistem','2','F151'),</v>
      </c>
    </row>
    <row r="326" spans="1:7" ht="12.5" x14ac:dyDescent="0.25">
      <c r="A326" s="9" t="str">
        <f ca="1">IFERROR(__xludf.DUMMYFUNCTION("""COMPUTED_VALUE"""),"TPB1602 - Kolokium")</f>
        <v>TPB1602 - Kolokium</v>
      </c>
      <c r="B326" s="44">
        <v>325</v>
      </c>
      <c r="C326" s="35" t="str">
        <f t="shared" ca="1" si="12"/>
        <v>TPB1602</v>
      </c>
      <c r="D326" s="35" t="str">
        <f t="shared" ca="1" si="13"/>
        <v>Kolokium</v>
      </c>
      <c r="E326" s="44">
        <f ca="1">IFERROR(VLOOKUP(A326,Mentah!D:J,7,FALSE),"")</f>
        <v>2</v>
      </c>
      <c r="F326" s="44" t="str">
        <f ca="1">IFERROR(VLOOKUP(A326,Mentah!D:K,8,FALSE),"")</f>
        <v>F151</v>
      </c>
      <c r="G326" s="35" t="str">
        <f t="shared" ca="1" si="9"/>
        <v>('TPB1602','Kolokium','2','F151'),</v>
      </c>
    </row>
    <row r="327" spans="1:7" ht="12.5" x14ac:dyDescent="0.25">
      <c r="A327" s="9" t="str">
        <f ca="1">IFERROR(__xludf.DUMMYFUNCTION("""COMPUTED_VALUE"""),"TPB1632 - Sistem Informasi Geografis untuk Teknik Pertanian dan Biosistem")</f>
        <v>TPB1632 - Sistem Informasi Geografis untuk Teknik Pertanian dan Biosistem</v>
      </c>
      <c r="B327" s="44">
        <v>326</v>
      </c>
      <c r="C327" s="35" t="str">
        <f t="shared" ca="1" si="12"/>
        <v>TPB1632</v>
      </c>
      <c r="D327" s="35" t="str">
        <f t="shared" ca="1" si="13"/>
        <v>Sistem Informasi Geografis untuk Teknik Pertanian dan Biosistem</v>
      </c>
      <c r="E327" s="44">
        <f ca="1">IFERROR(VLOOKUP(A327,Mentah!D:J,7,FALSE),"")</f>
        <v>2</v>
      </c>
      <c r="F327" s="44" t="str">
        <f ca="1">IFERROR(VLOOKUP(A327,Mentah!D:K,8,FALSE),"")</f>
        <v>F151</v>
      </c>
      <c r="G327" s="35" t="str">
        <f t="shared" ca="1" si="9"/>
        <v>('TPB1632','Sistem Informasi Geografis untuk Teknik Pertanian dan Biosistem','2','F151'),</v>
      </c>
    </row>
    <row r="328" spans="1:7" ht="12.5" x14ac:dyDescent="0.25">
      <c r="A328" s="9" t="str">
        <f ca="1">IFERROR(__xludf.DUMMYFUNCTION("""COMPUTED_VALUE"""),"TPB1617 - Analisis Komputasional Dinamika Fluida dan Mekanika Benda Padat")</f>
        <v>TPB1617 - Analisis Komputasional Dinamika Fluida dan Mekanika Benda Padat</v>
      </c>
      <c r="B328" s="44">
        <v>327</v>
      </c>
      <c r="C328" s="35" t="str">
        <f t="shared" ca="1" si="12"/>
        <v>TPB1617</v>
      </c>
      <c r="D328" s="35" t="str">
        <f t="shared" ca="1" si="13"/>
        <v>Analisis Komputasional Dinamika Fluida dan Mekanika Benda Padat</v>
      </c>
      <c r="E328" s="44">
        <f ca="1">IFERROR(VLOOKUP(A328,Mentah!D:J,7,FALSE),"")</f>
        <v>2</v>
      </c>
      <c r="F328" s="44" t="str">
        <f ca="1">IFERROR(VLOOKUP(A328,Mentah!D:K,8,FALSE),"")</f>
        <v>F151</v>
      </c>
      <c r="G328" s="35" t="str">
        <f t="shared" ca="1" si="9"/>
        <v>('TPB1617','Analisis Komputasional Dinamika Fluida dan Mekanika Benda Padat','2','F151'),</v>
      </c>
    </row>
    <row r="329" spans="1:7" ht="12.5" x14ac:dyDescent="0.25">
      <c r="A329" s="9" t="str">
        <f ca="1">IFERROR(__xludf.DUMMYFUNCTION("""COMPUTED_VALUE"""),"TPB1633 - Teknik Agrosistem")</f>
        <v>TPB1633 - Teknik Agrosistem</v>
      </c>
      <c r="B329" s="44">
        <v>328</v>
      </c>
      <c r="C329" s="35" t="str">
        <f t="shared" ca="1" si="12"/>
        <v>TPB1633</v>
      </c>
      <c r="D329" s="35" t="str">
        <f t="shared" ca="1" si="13"/>
        <v>Teknik Agrosistem</v>
      </c>
      <c r="E329" s="44">
        <f ca="1">IFERROR(VLOOKUP(A329,Mentah!D:J,7,FALSE),"")</f>
        <v>2</v>
      </c>
      <c r="F329" s="44" t="str">
        <f ca="1">IFERROR(VLOOKUP(A329,Mentah!D:K,8,FALSE),"")</f>
        <v>F151</v>
      </c>
      <c r="G329" s="35" t="str">
        <f t="shared" ca="1" si="9"/>
        <v>('TPB1633','Teknik Agrosistem','2','F151'),</v>
      </c>
    </row>
    <row r="330" spans="1:7" ht="12.5" x14ac:dyDescent="0.25">
      <c r="A330" s="9" t="str">
        <f ca="1">IFERROR(__xludf.DUMMYFUNCTION("""COMPUTED_VALUE"""),"TPP1625 - Penanganan Pascapanen Tanaman Rempah dan Obat")</f>
        <v>TPP1625 - Penanganan Pascapanen Tanaman Rempah dan Obat</v>
      </c>
      <c r="B330" s="44">
        <v>329</v>
      </c>
      <c r="C330" s="35" t="str">
        <f t="shared" ca="1" si="12"/>
        <v>TPP1625</v>
      </c>
      <c r="D330" s="35" t="str">
        <f t="shared" ca="1" si="13"/>
        <v>Penanganan Pascapanen Tanaman Rempah dan Obat</v>
      </c>
      <c r="E330" s="44">
        <f ca="1">IFERROR(VLOOKUP(A330,Mentah!D:J,7,FALSE),"")</f>
        <v>2</v>
      </c>
      <c r="F330" s="44" t="str">
        <f ca="1">IFERROR(VLOOKUP(A330,Mentah!D:K,8,FALSE),"")</f>
        <v>F152</v>
      </c>
      <c r="G330" s="35" t="str">
        <f t="shared" ca="1" si="9"/>
        <v>('TPP1625','Penanganan Pascapanen Tanaman Rempah dan Obat','2','F152'),</v>
      </c>
    </row>
    <row r="331" spans="1:7" ht="12.5" x14ac:dyDescent="0.25">
      <c r="A331" s="9" t="str">
        <f ca="1">IFERROR(__xludf.DUMMYFUNCTION("""COMPUTED_VALUE"""),"TPP1626 - Penanganan dan Pengolahan Hasil Ternak dan Perikanan")</f>
        <v>TPP1626 - Penanganan dan Pengolahan Hasil Ternak dan Perikanan</v>
      </c>
      <c r="B331" s="44">
        <v>330</v>
      </c>
      <c r="C331" s="35" t="str">
        <f t="shared" ca="1" si="12"/>
        <v>TPP1626</v>
      </c>
      <c r="D331" s="35" t="str">
        <f t="shared" ca="1" si="13"/>
        <v>Penanganan dan Pengolahan Hasil Ternak dan Perikanan</v>
      </c>
      <c r="E331" s="44">
        <f ca="1">IFERROR(VLOOKUP(A331,Mentah!D:J,7,FALSE),"")</f>
        <v>2</v>
      </c>
      <c r="F331" s="44" t="str">
        <f ca="1">IFERROR(VLOOKUP(A331,Mentah!D:K,8,FALSE),"")</f>
        <v>F152</v>
      </c>
      <c r="G331" s="35" t="str">
        <f t="shared" ca="1" si="9"/>
        <v>('TPP1626','Penanganan dan Pengolahan Hasil Ternak dan Perikanan','2','F152'),</v>
      </c>
    </row>
    <row r="332" spans="1:7" ht="12.5" x14ac:dyDescent="0.25">
      <c r="A332" s="9" t="str">
        <f ca="1">IFERROR(__xludf.DUMMYFUNCTION("""COMPUTED_VALUE"""),"TPP1531 - Manajemen Pascapanen")</f>
        <v>TPP1531 - Manajemen Pascapanen</v>
      </c>
      <c r="B332" s="44">
        <v>331</v>
      </c>
      <c r="C332" s="35" t="str">
        <f t="shared" ca="1" si="12"/>
        <v>TPP1531</v>
      </c>
      <c r="D332" s="35" t="str">
        <f t="shared" ca="1" si="13"/>
        <v>Manajemen Pascapanen</v>
      </c>
      <c r="E332" s="44">
        <f ca="1">IFERROR(VLOOKUP(A332,Mentah!D:J,7,FALSE),"")</f>
        <v>2</v>
      </c>
      <c r="F332" s="44" t="str">
        <f ca="1">IFERROR(VLOOKUP(A332,Mentah!D:K,8,FALSE),"")</f>
        <v>F152</v>
      </c>
      <c r="G332" s="35" t="str">
        <f t="shared" ca="1" si="9"/>
        <v>('TPP1531','Manajemen Pascapanen','2','F152'),</v>
      </c>
    </row>
    <row r="333" spans="1:7" ht="12.5" x14ac:dyDescent="0.25">
      <c r="A333" s="9" t="str">
        <f ca="1">IFERROR(__xludf.DUMMYFUNCTION("""COMPUTED_VALUE"""),"TPP1522 - Teknologi Penanganan Pascapanen")</f>
        <v>TPP1522 - Teknologi Penanganan Pascapanen</v>
      </c>
      <c r="B333" s="44">
        <v>332</v>
      </c>
      <c r="C333" s="35" t="str">
        <f t="shared" ca="1" si="12"/>
        <v>TPP1522</v>
      </c>
      <c r="D333" s="35" t="str">
        <f t="shared" ca="1" si="13"/>
        <v>Teknologi Penanganan Pascapanen</v>
      </c>
      <c r="E333" s="44">
        <f ca="1">IFERROR(VLOOKUP(A333,Mentah!D:J,7,FALSE),"")</f>
        <v>2</v>
      </c>
      <c r="F333" s="44" t="str">
        <f ca="1">IFERROR(VLOOKUP(A333,Mentah!D:K,8,FALSE),"")</f>
        <v>F152</v>
      </c>
      <c r="G333" s="35" t="str">
        <f t="shared" ca="1" si="9"/>
        <v>('TPP1522','Teknologi Penanganan Pascapanen','2','F152'),</v>
      </c>
    </row>
    <row r="334" spans="1:7" ht="12.5" x14ac:dyDescent="0.25">
      <c r="A334" s="9" t="str">
        <f ca="1">IFERROR(__xludf.DUMMYFUNCTION("""COMPUTED_VALUE"""),"TPP1622 - Penanganan Pascapanen Tanaman Pangan")</f>
        <v>TPP1622 - Penanganan Pascapanen Tanaman Pangan</v>
      </c>
      <c r="B334" s="44">
        <v>333</v>
      </c>
      <c r="C334" s="35" t="str">
        <f t="shared" ca="1" si="12"/>
        <v>TPP1622</v>
      </c>
      <c r="D334" s="35" t="str">
        <f t="shared" ca="1" si="13"/>
        <v>Penanganan Pascapanen Tanaman Pangan</v>
      </c>
      <c r="E334" s="44">
        <f ca="1">IFERROR(VLOOKUP(A334,Mentah!D:J,7,FALSE),"")</f>
        <v>2</v>
      </c>
      <c r="F334" s="44" t="str">
        <f ca="1">IFERROR(VLOOKUP(A334,Mentah!D:K,8,FALSE),"")</f>
        <v>F152</v>
      </c>
      <c r="G334" s="35" t="str">
        <f t="shared" ca="1" si="9"/>
        <v>('TPP1622','Penanganan Pascapanen Tanaman Pangan','2','F152'),</v>
      </c>
    </row>
    <row r="335" spans="1:7" ht="12.5" x14ac:dyDescent="0.25">
      <c r="A335" s="9" t="str">
        <f ca="1">IFERROR(__xludf.DUMMYFUNCTION("""COMPUTED_VALUE"""),"TPP1523 - Teknologi Pengolahan Hasil Pertanian")</f>
        <v>TPP1523 - Teknologi Pengolahan Hasil Pertanian</v>
      </c>
      <c r="B335" s="44">
        <v>334</v>
      </c>
      <c r="C335" s="35" t="str">
        <f t="shared" ca="1" si="12"/>
        <v>TPP1523</v>
      </c>
      <c r="D335" s="35" t="str">
        <f t="shared" ca="1" si="13"/>
        <v>Teknologi Pengolahan Hasil Pertanian</v>
      </c>
      <c r="E335" s="44">
        <f ca="1">IFERROR(VLOOKUP(A335,Mentah!D:J,7,FALSE),"")</f>
        <v>2</v>
      </c>
      <c r="F335" s="44" t="str">
        <f ca="1">IFERROR(VLOOKUP(A335,Mentah!D:K,8,FALSE),"")</f>
        <v>F152</v>
      </c>
      <c r="G335" s="35" t="str">
        <f t="shared" ca="1" si="9"/>
        <v>('TPP1523','Teknologi Pengolahan Hasil Pertanian','2','F152'),</v>
      </c>
    </row>
    <row r="336" spans="1:7" ht="12.5" x14ac:dyDescent="0.25">
      <c r="A336" s="9" t="str">
        <f ca="1">IFERROR(__xludf.DUMMYFUNCTION("""COMPUTED_VALUE"""),"TPP1624 - Penanganan dan Pengolahan Hasil Perkebunan")</f>
        <v>TPP1624 - Penanganan dan Pengolahan Hasil Perkebunan</v>
      </c>
      <c r="B336" s="44">
        <v>335</v>
      </c>
      <c r="C336" s="35" t="str">
        <f t="shared" ca="1" si="12"/>
        <v>TPP1624</v>
      </c>
      <c r="D336" s="35" t="str">
        <f t="shared" ca="1" si="13"/>
        <v>Penanganan dan Pengolahan Hasil Perkebunan</v>
      </c>
      <c r="E336" s="44">
        <f ca="1">IFERROR(VLOOKUP(A336,Mentah!D:J,7,FALSE),"")</f>
        <v>2</v>
      </c>
      <c r="F336" s="44" t="str">
        <f ca="1">IFERROR(VLOOKUP(A336,Mentah!D:K,8,FALSE),"")</f>
        <v>F152</v>
      </c>
      <c r="G336" s="35" t="str">
        <f t="shared" ca="1" si="9"/>
        <v>('TPP1624','Penanganan dan Pengolahan Hasil Perkebunan','2','F152'),</v>
      </c>
    </row>
    <row r="337" spans="1:7" ht="12.5" x14ac:dyDescent="0.25">
      <c r="A337" s="9" t="str">
        <f ca="1">IFERROR(__xludf.DUMMYFUNCTION("""COMPUTED_VALUE"""),"TPP1629 - Teknologi Pengolahan Limbah Pertanian")</f>
        <v>TPP1629 - Teknologi Pengolahan Limbah Pertanian</v>
      </c>
      <c r="B337" s="44">
        <v>336</v>
      </c>
      <c r="C337" s="35" t="str">
        <f t="shared" ca="1" si="12"/>
        <v>TPP1629</v>
      </c>
      <c r="D337" s="35" t="str">
        <f t="shared" ca="1" si="13"/>
        <v>Teknologi Pengolahan Limbah Pertanian</v>
      </c>
      <c r="E337" s="44">
        <f ca="1">IFERROR(VLOOKUP(A337,Mentah!D:J,7,FALSE),"")</f>
        <v>2</v>
      </c>
      <c r="F337" s="44" t="str">
        <f ca="1">IFERROR(VLOOKUP(A337,Mentah!D:K,8,FALSE),"")</f>
        <v>F152</v>
      </c>
      <c r="G337" s="35" t="str">
        <f t="shared" ca="1" si="9"/>
        <v>('TPP1629','Teknologi Pengolahan Limbah Pertanian','2','F152'),</v>
      </c>
    </row>
    <row r="338" spans="1:7" ht="12.5" x14ac:dyDescent="0.25">
      <c r="A338" s="9" t="str">
        <f ca="1">IFERROR(__xludf.DUMMYFUNCTION("""COMPUTED_VALUE"""),"TPP1524 - Penanganan dan Pengolahan Hasil Pertanian")</f>
        <v>TPP1524 - Penanganan dan Pengolahan Hasil Pertanian</v>
      </c>
      <c r="B338" s="44">
        <v>337</v>
      </c>
      <c r="C338" s="35" t="str">
        <f t="shared" ca="1" si="12"/>
        <v>TPP1524</v>
      </c>
      <c r="D338" s="35" t="str">
        <f t="shared" ca="1" si="13"/>
        <v>Penanganan dan Pengolahan Hasil Pertanian</v>
      </c>
      <c r="E338" s="44">
        <f ca="1">IFERROR(VLOOKUP(A338,Mentah!D:J,7,FALSE),"")</f>
        <v>2</v>
      </c>
      <c r="F338" s="44" t="str">
        <f ca="1">IFERROR(VLOOKUP(A338,Mentah!D:K,8,FALSE),"")</f>
        <v>F152</v>
      </c>
      <c r="G338" s="35" t="str">
        <f t="shared" ca="1" si="9"/>
        <v>('TPP1524','Penanganan dan Pengolahan Hasil Pertanian','2','F152'),</v>
      </c>
    </row>
    <row r="339" spans="1:7" ht="12.5" x14ac:dyDescent="0.25">
      <c r="A339" s="9" t="str">
        <f ca="1">IFERROR(__xludf.DUMMYFUNCTION("""COMPUTED_VALUE"""),"TPP1627 - Teknologi Distribusi dan Rantai Pasok Hasil Pertanian")</f>
        <v>TPP1627 - Teknologi Distribusi dan Rantai Pasok Hasil Pertanian</v>
      </c>
      <c r="B339" s="44">
        <v>338</v>
      </c>
      <c r="C339" s="35" t="str">
        <f t="shared" ca="1" si="12"/>
        <v>TPP1627</v>
      </c>
      <c r="D339" s="35" t="str">
        <f t="shared" ca="1" si="13"/>
        <v>Teknologi Distribusi dan Rantai Pasok Hasil Pertanian</v>
      </c>
      <c r="E339" s="44">
        <f ca="1">IFERROR(VLOOKUP(A339,Mentah!D:J,7,FALSE),"")</f>
        <v>2</v>
      </c>
      <c r="F339" s="44" t="str">
        <f ca="1">IFERROR(VLOOKUP(A339,Mentah!D:K,8,FALSE),"")</f>
        <v>F152</v>
      </c>
      <c r="G339" s="35" t="str">
        <f t="shared" ca="1" si="9"/>
        <v>('TPP1627','Teknologi Distribusi dan Rantai Pasok Hasil Pertanian','2','F152'),</v>
      </c>
    </row>
    <row r="340" spans="1:7" ht="12.5" x14ac:dyDescent="0.25">
      <c r="A340" s="9" t="str">
        <f ca="1">IFERROR(__xludf.DUMMYFUNCTION("""COMPUTED_VALUE"""),"TPP1621 - Teknologi Evaluasi Non-destruktif Bahan Pertanian")</f>
        <v>TPP1621 - Teknologi Evaluasi Non-destruktif Bahan Pertanian</v>
      </c>
      <c r="B340" s="44">
        <v>339</v>
      </c>
      <c r="C340" s="35" t="str">
        <f t="shared" ca="1" si="12"/>
        <v>TPP1621</v>
      </c>
      <c r="D340" s="35" t="str">
        <f t="shared" ca="1" si="13"/>
        <v>Teknologi Evaluasi Non-destruktif Bahan Pertanian</v>
      </c>
      <c r="E340" s="44">
        <f ca="1">IFERROR(VLOOKUP(A340,Mentah!D:J,7,FALSE),"")</f>
        <v>2</v>
      </c>
      <c r="F340" s="44" t="str">
        <f ca="1">IFERROR(VLOOKUP(A340,Mentah!D:K,8,FALSE),"")</f>
        <v>F152</v>
      </c>
      <c r="G340" s="35" t="str">
        <f t="shared" ca="1" si="9"/>
        <v>('TPP1621','Teknologi Evaluasi Non-destruktif Bahan Pertanian','2','F152'),</v>
      </c>
    </row>
    <row r="341" spans="1:7" ht="12.5" x14ac:dyDescent="0.25">
      <c r="A341" s="9" t="str">
        <f ca="1">IFERROR(__xludf.DUMMYFUNCTION("""COMPUTED_VALUE"""),"TPP1628 - Teknologi Karantina dalam Penanganan Pascapanen")</f>
        <v>TPP1628 - Teknologi Karantina dalam Penanganan Pascapanen</v>
      </c>
      <c r="B341" s="44">
        <v>340</v>
      </c>
      <c r="C341" s="35" t="str">
        <f t="shared" ca="1" si="12"/>
        <v>TPP1628</v>
      </c>
      <c r="D341" s="35" t="str">
        <f t="shared" ca="1" si="13"/>
        <v>Teknologi Karantina dalam Penanganan Pascapanen</v>
      </c>
      <c r="E341" s="44">
        <f ca="1">IFERROR(VLOOKUP(A341,Mentah!D:J,7,FALSE),"")</f>
        <v>2</v>
      </c>
      <c r="F341" s="44" t="str">
        <f ca="1">IFERROR(VLOOKUP(A341,Mentah!D:K,8,FALSE),"")</f>
        <v>F152</v>
      </c>
      <c r="G341" s="35" t="str">
        <f t="shared" ca="1" si="9"/>
        <v>('TPP1628','Teknologi Karantina dalam Penanganan Pascapanen','2','F152'),</v>
      </c>
    </row>
    <row r="342" spans="1:7" ht="12.5" x14ac:dyDescent="0.25">
      <c r="A342" s="9" t="str">
        <f ca="1">IFERROR(__xludf.DUMMYFUNCTION("""COMPUTED_VALUE"""),"IPN1612 - Kimia Flavor")</f>
        <v>IPN1612 - Kimia Flavor</v>
      </c>
      <c r="B342" s="44">
        <v>341</v>
      </c>
      <c r="C342" s="35" t="str">
        <f t="shared" ca="1" si="12"/>
        <v>IPN1612</v>
      </c>
      <c r="D342" s="35" t="str">
        <f t="shared" ca="1" si="13"/>
        <v>Kimia Flavor</v>
      </c>
      <c r="E342" s="44">
        <f ca="1">IFERROR(VLOOKUP(A342,Mentah!D:J,7,FALSE),"")</f>
        <v>2</v>
      </c>
      <c r="F342" s="44" t="str">
        <f ca="1">IFERROR(VLOOKUP(A342,Mentah!D:K,8,FALSE),"")</f>
        <v>F251</v>
      </c>
      <c r="G342" s="35" t="str">
        <f t="shared" ca="1" si="9"/>
        <v>('IPN1612','Kimia Flavor','2','F251'),</v>
      </c>
    </row>
    <row r="343" spans="1:7" ht="12.5" x14ac:dyDescent="0.25">
      <c r="A343" s="9" t="str">
        <f ca="1">IFERROR(__xludf.DUMMYFUNCTION("""COMPUTED_VALUE"""),"IPN1621 - Pengendalian Mutu Mikrobiologi Pangan")</f>
        <v>IPN1621 - Pengendalian Mutu Mikrobiologi Pangan</v>
      </c>
      <c r="B343" s="44">
        <v>342</v>
      </c>
      <c r="C343" s="35" t="str">
        <f t="shared" ca="1" si="12"/>
        <v>IPN1621</v>
      </c>
      <c r="D343" s="35" t="str">
        <f t="shared" ca="1" si="13"/>
        <v>Pengendalian Mutu Mikrobiologi Pangan</v>
      </c>
      <c r="E343" s="44">
        <f ca="1">IFERROR(VLOOKUP(A343,Mentah!D:J,7,FALSE),"")</f>
        <v>2</v>
      </c>
      <c r="F343" s="44" t="str">
        <f ca="1">IFERROR(VLOOKUP(A343,Mentah!D:K,8,FALSE),"")</f>
        <v>F251</v>
      </c>
      <c r="G343" s="35" t="str">
        <f t="shared" ca="1" si="9"/>
        <v>('IPN1621','Pengendalian Mutu Mikrobiologi Pangan','2','F251'),</v>
      </c>
    </row>
    <row r="344" spans="1:7" ht="12.5" x14ac:dyDescent="0.25">
      <c r="A344" s="9" t="str">
        <f ca="1">IFERROR(__xludf.DUMMYFUNCTION("""COMPUTED_VALUE"""),"IPN1613 - Aplikasi Metobolomik dalam Ilmu Pangan")</f>
        <v>IPN1613 - Aplikasi Metobolomik dalam Ilmu Pangan</v>
      </c>
      <c r="B344" s="44">
        <v>343</v>
      </c>
      <c r="C344" s="35" t="str">
        <f t="shared" ca="1" si="12"/>
        <v>IPN1613</v>
      </c>
      <c r="D344" s="35" t="str">
        <f t="shared" ca="1" si="13"/>
        <v>Aplikasi Metobolomik dalam Ilmu Pangan</v>
      </c>
      <c r="E344" s="44">
        <f ca="1">IFERROR(VLOOKUP(A344,Mentah!D:J,7,FALSE),"")</f>
        <v>2</v>
      </c>
      <c r="F344" s="44" t="str">
        <f ca="1">IFERROR(VLOOKUP(A344,Mentah!D:K,8,FALSE),"")</f>
        <v>F251</v>
      </c>
      <c r="G344" s="35" t="str">
        <f t="shared" ca="1" si="9"/>
        <v>('IPN1613','Aplikasi Metobolomik dalam Ilmu Pangan','2','F251'),</v>
      </c>
    </row>
    <row r="345" spans="1:7" ht="12.5" x14ac:dyDescent="0.25">
      <c r="A345" s="9" t="str">
        <f ca="1">IFERROR(__xludf.DUMMYFUNCTION("""COMPUTED_VALUE"""),"IPN1503 - Rekayasa Proses Pangan")</f>
        <v>IPN1503 - Rekayasa Proses Pangan</v>
      </c>
      <c r="B345" s="44">
        <v>344</v>
      </c>
      <c r="C345" s="35" t="str">
        <f t="shared" ca="1" si="12"/>
        <v>IPN1503</v>
      </c>
      <c r="D345" s="35" t="str">
        <f t="shared" ca="1" si="13"/>
        <v>Rekayasa Proses Pangan</v>
      </c>
      <c r="E345" s="44">
        <f ca="1">IFERROR(VLOOKUP(A345,Mentah!D:J,7,FALSE),"")</f>
        <v>2</v>
      </c>
      <c r="F345" s="44" t="str">
        <f ca="1">IFERROR(VLOOKUP(A345,Mentah!D:K,8,FALSE),"")</f>
        <v>F251</v>
      </c>
      <c r="G345" s="35" t="str">
        <f t="shared" ca="1" si="9"/>
        <v>('IPN1503','Rekayasa Proses Pangan','2','F251'),</v>
      </c>
    </row>
    <row r="346" spans="1:7" ht="12.5" x14ac:dyDescent="0.25">
      <c r="A346" s="9" t="str">
        <f ca="1">IFERROR(__xludf.DUMMYFUNCTION("""COMPUTED_VALUE"""),"IPN1641 - Metabolisme Seluler Komponen Pangan")</f>
        <v>IPN1641 - Metabolisme Seluler Komponen Pangan</v>
      </c>
      <c r="B346" s="44">
        <v>345</v>
      </c>
      <c r="C346" s="35" t="str">
        <f t="shared" ca="1" si="12"/>
        <v>IPN1641</v>
      </c>
      <c r="D346" s="35" t="str">
        <f t="shared" ca="1" si="13"/>
        <v>Metabolisme Seluler Komponen Pangan</v>
      </c>
      <c r="E346" s="44">
        <f ca="1">IFERROR(VLOOKUP(A346,Mentah!D:J,7,FALSE),"")</f>
        <v>2</v>
      </c>
      <c r="F346" s="44" t="str">
        <f ca="1">IFERROR(VLOOKUP(A346,Mentah!D:K,8,FALSE),"")</f>
        <v>F251</v>
      </c>
      <c r="G346" s="35" t="str">
        <f t="shared" ca="1" si="9"/>
        <v>('IPN1641','Metabolisme Seluler Komponen Pangan','2','F251'),</v>
      </c>
    </row>
    <row r="347" spans="1:7" ht="12.5" x14ac:dyDescent="0.25">
      <c r="A347" s="9" t="str">
        <f ca="1">IFERROR(__xludf.DUMMYFUNCTION("""COMPUTED_VALUE"""),"IPN1506 - Analisis Pangan Lanjut")</f>
        <v>IPN1506 - Analisis Pangan Lanjut</v>
      </c>
      <c r="B347" s="44">
        <v>346</v>
      </c>
      <c r="C347" s="35" t="str">
        <f t="shared" ca="1" si="12"/>
        <v>IPN1506</v>
      </c>
      <c r="D347" s="35" t="str">
        <f t="shared" ca="1" si="13"/>
        <v>Analisis Pangan Lanjut</v>
      </c>
      <c r="E347" s="44">
        <f ca="1">IFERROR(VLOOKUP(A347,Mentah!D:J,7,FALSE),"")</f>
        <v>2</v>
      </c>
      <c r="F347" s="44" t="str">
        <f ca="1">IFERROR(VLOOKUP(A347,Mentah!D:K,8,FALSE),"")</f>
        <v>F251</v>
      </c>
      <c r="G347" s="35" t="str">
        <f t="shared" ca="1" si="9"/>
        <v>('IPN1506','Analisis Pangan Lanjut','2','F251'),</v>
      </c>
    </row>
    <row r="348" spans="1:7" ht="12.5" x14ac:dyDescent="0.25">
      <c r="A348" s="9" t="str">
        <f ca="1">IFERROR(__xludf.DUMMYFUNCTION("""COMPUTED_VALUE"""),"IPN1633 - Rekayasa Pengemasan dan Penyimpanan Pangan")</f>
        <v>IPN1633 - Rekayasa Pengemasan dan Penyimpanan Pangan</v>
      </c>
      <c r="B348" s="44">
        <v>347</v>
      </c>
      <c r="C348" s="35" t="str">
        <f t="shared" ca="1" si="12"/>
        <v>IPN1633</v>
      </c>
      <c r="D348" s="35" t="str">
        <f t="shared" ca="1" si="13"/>
        <v>Rekayasa Pengemasan dan Penyimpanan Pangan</v>
      </c>
      <c r="E348" s="44">
        <f ca="1">IFERROR(VLOOKUP(A348,Mentah!D:J,7,FALSE),"")</f>
        <v>2</v>
      </c>
      <c r="F348" s="44" t="str">
        <f ca="1">IFERROR(VLOOKUP(A348,Mentah!D:K,8,FALSE),"")</f>
        <v>F251</v>
      </c>
      <c r="G348" s="35" t="str">
        <f t="shared" ca="1" si="9"/>
        <v>('IPN1633','Rekayasa Pengemasan dan Penyimpanan Pangan','2','F251'),</v>
      </c>
    </row>
    <row r="349" spans="1:7" ht="12.5" x14ac:dyDescent="0.25">
      <c r="A349" s="9" t="str">
        <f ca="1">IFERROR(__xludf.DUMMYFUNCTION("""COMPUTED_VALUE"""),"IPN1642 - Metode Evaluasi Nilai Biologis Pangan")</f>
        <v>IPN1642 - Metode Evaluasi Nilai Biologis Pangan</v>
      </c>
      <c r="B349" s="44">
        <v>348</v>
      </c>
      <c r="C349" s="35" t="str">
        <f t="shared" ca="1" si="12"/>
        <v>IPN1642</v>
      </c>
      <c r="D349" s="35" t="str">
        <f t="shared" ca="1" si="13"/>
        <v>Metode Evaluasi Nilai Biologis Pangan</v>
      </c>
      <c r="E349" s="44">
        <f ca="1">IFERROR(VLOOKUP(A349,Mentah!D:J,7,FALSE),"")</f>
        <v>2</v>
      </c>
      <c r="F349" s="44" t="str">
        <f ca="1">IFERROR(VLOOKUP(A349,Mentah!D:K,8,FALSE),"")</f>
        <v>F251</v>
      </c>
      <c r="G349" s="35" t="str">
        <f t="shared" ca="1" si="9"/>
        <v>('IPN1642','Metode Evaluasi Nilai Biologis Pangan','2','F251'),</v>
      </c>
    </row>
    <row r="350" spans="1:7" ht="12.5" x14ac:dyDescent="0.25">
      <c r="A350" s="9" t="str">
        <f ca="1">IFERROR(__xludf.DUMMYFUNCTION("""COMPUTED_VALUE"""),"IPN1504 - Biokimia Molekuler Pangan")</f>
        <v>IPN1504 - Biokimia Molekuler Pangan</v>
      </c>
      <c r="B350" s="44">
        <v>349</v>
      </c>
      <c r="C350" s="35" t="str">
        <f t="shared" ca="1" si="12"/>
        <v>IPN1504</v>
      </c>
      <c r="D350" s="35" t="str">
        <f t="shared" ca="1" si="13"/>
        <v>Biokimia Molekuler Pangan</v>
      </c>
      <c r="E350" s="44">
        <f ca="1">IFERROR(VLOOKUP(A350,Mentah!D:J,7,FALSE),"")</f>
        <v>2</v>
      </c>
      <c r="F350" s="44" t="str">
        <f ca="1">IFERROR(VLOOKUP(A350,Mentah!D:K,8,FALSE),"")</f>
        <v>F251</v>
      </c>
      <c r="G350" s="35" t="str">
        <f t="shared" ca="1" si="9"/>
        <v>('IPN1504','Biokimia Molekuler Pangan','2','F251'),</v>
      </c>
    </row>
    <row r="351" spans="1:7" ht="12.5" x14ac:dyDescent="0.25">
      <c r="A351" s="9" t="str">
        <f ca="1">IFERROR(__xludf.DUMMYFUNCTION("""COMPUTED_VALUE"""),"IPN1634 - Teknologi Membran dalam Industri Pangan")</f>
        <v>IPN1634 - Teknologi Membran dalam Industri Pangan</v>
      </c>
      <c r="B351" s="44">
        <v>350</v>
      </c>
      <c r="C351" s="35" t="str">
        <f t="shared" ca="1" si="12"/>
        <v>IPN1634</v>
      </c>
      <c r="D351" s="35" t="str">
        <f t="shared" ca="1" si="13"/>
        <v>Teknologi Membran dalam Industri Pangan</v>
      </c>
      <c r="E351" s="44">
        <f ca="1">IFERROR(VLOOKUP(A351,Mentah!D:J,7,FALSE),"")</f>
        <v>2</v>
      </c>
      <c r="F351" s="44" t="str">
        <f ca="1">IFERROR(VLOOKUP(A351,Mentah!D:K,8,FALSE),"")</f>
        <v>F251</v>
      </c>
      <c r="G351" s="35" t="str">
        <f t="shared" ca="1" si="9"/>
        <v>('IPN1634','Teknologi Membran dalam Industri Pangan','2','F251'),</v>
      </c>
    </row>
    <row r="352" spans="1:7" ht="12.5" x14ac:dyDescent="0.25">
      <c r="A352" s="9" t="str">
        <f ca="1">IFERROR(__xludf.DUMMYFUNCTION("""COMPUTED_VALUE"""),"IPN1623 - Bioteknologi Pangan")</f>
        <v>IPN1623 - Bioteknologi Pangan</v>
      </c>
      <c r="B352" s="44">
        <v>351</v>
      </c>
      <c r="C352" s="35" t="str">
        <f t="shared" ca="1" si="12"/>
        <v>IPN1623</v>
      </c>
      <c r="D352" s="35" t="str">
        <f t="shared" ca="1" si="13"/>
        <v>Bioteknologi Pangan</v>
      </c>
      <c r="E352" s="44">
        <f ca="1">IFERROR(VLOOKUP(A352,Mentah!D:J,7,FALSE),"")</f>
        <v>2</v>
      </c>
      <c r="F352" s="44" t="str">
        <f ca="1">IFERROR(VLOOKUP(A352,Mentah!D:K,8,FALSE),"")</f>
        <v>F251</v>
      </c>
      <c r="G352" s="35" t="str">
        <f t="shared" ca="1" si="9"/>
        <v>('IPN1623','Bioteknologi Pangan','2','F251'),</v>
      </c>
    </row>
    <row r="353" spans="1:7" ht="12.5" x14ac:dyDescent="0.25">
      <c r="A353" s="9" t="str">
        <f ca="1">IFERROR(__xludf.DUMMYFUNCTION("""COMPUTED_VALUE"""),"TPN1503 - Regulasi Pangan")</f>
        <v>TPN1503 - Regulasi Pangan</v>
      </c>
      <c r="B353" s="44">
        <v>352</v>
      </c>
      <c r="C353" s="35" t="str">
        <f t="shared" ca="1" si="12"/>
        <v>TPN1503</v>
      </c>
      <c r="D353" s="35" t="str">
        <f t="shared" ca="1" si="13"/>
        <v>Regulasi Pangan</v>
      </c>
      <c r="E353" s="44">
        <f ca="1">IFERROR(VLOOKUP(A353,Mentah!D:J,7,FALSE),"")</f>
        <v>2</v>
      </c>
      <c r="F353" s="44" t="str">
        <f ca="1">IFERROR(VLOOKUP(A353,Mentah!D:K,8,FALSE),"")</f>
        <v>F252</v>
      </c>
      <c r="G353" s="35" t="str">
        <f t="shared" ca="1" si="9"/>
        <v>('TPN1503','Regulasi Pangan','2','F252'),</v>
      </c>
    </row>
    <row r="354" spans="1:7" ht="12.5" x14ac:dyDescent="0.25">
      <c r="A354" s="9" t="str">
        <f ca="1">IFERROR(__xludf.DUMMYFUNCTION("""COMPUTED_VALUE"""),"TPN1541 - Gizi Terapan di Industri Pangan")</f>
        <v>TPN1541 - Gizi Terapan di Industri Pangan</v>
      </c>
      <c r="B354" s="44">
        <v>353</v>
      </c>
      <c r="C354" s="35" t="str">
        <f t="shared" ca="1" si="12"/>
        <v>TPN1541</v>
      </c>
      <c r="D354" s="35" t="str">
        <f t="shared" ca="1" si="13"/>
        <v>Gizi Terapan di Industri Pangan</v>
      </c>
      <c r="E354" s="44">
        <f ca="1">IFERROR(VLOOKUP(A354,Mentah!D:J,7,FALSE),"")</f>
        <v>2</v>
      </c>
      <c r="F354" s="44" t="str">
        <f ca="1">IFERROR(VLOOKUP(A354,Mentah!D:K,8,FALSE),"")</f>
        <v>F252</v>
      </c>
      <c r="G354" s="35" t="str">
        <f t="shared" ca="1" si="9"/>
        <v>('TPN1541','Gizi Terapan di Industri Pangan','2','F252'),</v>
      </c>
    </row>
    <row r="355" spans="1:7" ht="12.5" x14ac:dyDescent="0.25">
      <c r="A355" s="9" t="str">
        <f ca="1">IFERROR(__xludf.DUMMYFUNCTION("""COMPUTED_VALUE"""),"TPN1601 - Isu Mutakhir Industri Pangan")</f>
        <v>TPN1601 - Isu Mutakhir Industri Pangan</v>
      </c>
      <c r="B355" s="44">
        <v>354</v>
      </c>
      <c r="C355" s="35" t="str">
        <f t="shared" ca="1" si="12"/>
        <v>TPN1601</v>
      </c>
      <c r="D355" s="35" t="str">
        <f t="shared" ca="1" si="13"/>
        <v>Isu Mutakhir Industri Pangan</v>
      </c>
      <c r="E355" s="44">
        <f ca="1">IFERROR(VLOOKUP(A355,Mentah!D:J,7,FALSE),"")</f>
        <v>2</v>
      </c>
      <c r="F355" s="44" t="str">
        <f ca="1">IFERROR(VLOOKUP(A355,Mentah!D:K,8,FALSE),"")</f>
        <v>F252</v>
      </c>
      <c r="G355" s="35" t="str">
        <f t="shared" ca="1" si="9"/>
        <v>('TPN1601','Isu Mutakhir Industri Pangan','2','F252'),</v>
      </c>
    </row>
    <row r="356" spans="1:7" ht="12.5" x14ac:dyDescent="0.25">
      <c r="A356" s="9" t="str">
        <f ca="1">IFERROR(__xludf.DUMMYFUNCTION("""COMPUTED_VALUE"""),"TPN1602 - Manajemen Pengembangan Produk Baru")</f>
        <v>TPN1602 - Manajemen Pengembangan Produk Baru</v>
      </c>
      <c r="B356" s="44">
        <v>355</v>
      </c>
      <c r="C356" s="35" t="str">
        <f t="shared" ca="1" si="12"/>
        <v>TPN1602</v>
      </c>
      <c r="D356" s="35" t="str">
        <f t="shared" ca="1" si="13"/>
        <v>Manajemen Pengembangan Produk Baru</v>
      </c>
      <c r="E356" s="44">
        <f ca="1">IFERROR(VLOOKUP(A356,Mentah!D:J,7,FALSE),"")</f>
        <v>2</v>
      </c>
      <c r="F356" s="44" t="str">
        <f ca="1">IFERROR(VLOOKUP(A356,Mentah!D:K,8,FALSE),"")</f>
        <v>F252</v>
      </c>
      <c r="G356" s="35" t="str">
        <f t="shared" ca="1" si="9"/>
        <v>('TPN1602','Manajemen Pengembangan Produk Baru','2','F252'),</v>
      </c>
    </row>
    <row r="357" spans="1:7" ht="12.5" x14ac:dyDescent="0.25">
      <c r="A357" s="9" t="str">
        <f ca="1">IFERROR(__xludf.DUMMYFUNCTION("""COMPUTED_VALUE"""),"TPN1622 - Good Practices dalam Rantai Pangan")</f>
        <v>TPN1622 - Good Practices dalam Rantai Pangan</v>
      </c>
      <c r="B357" s="44">
        <v>356</v>
      </c>
      <c r="C357" s="35" t="str">
        <f t="shared" ca="1" si="12"/>
        <v>TPN1622</v>
      </c>
      <c r="D357" s="35" t="str">
        <f t="shared" ca="1" si="13"/>
        <v>Good Practices dalam Rantai Pangan</v>
      </c>
      <c r="E357" s="44">
        <f ca="1">IFERROR(VLOOKUP(A357,Mentah!D:J,7,FALSE),"")</f>
        <v>2</v>
      </c>
      <c r="F357" s="44" t="str">
        <f ca="1">IFERROR(VLOOKUP(A357,Mentah!D:K,8,FALSE),"")</f>
        <v>F252</v>
      </c>
      <c r="G357" s="35" t="str">
        <f t="shared" ca="1" si="9"/>
        <v>('TPN1622','Good Practices dalam Rantai Pangan','2','F252'),</v>
      </c>
    </row>
    <row r="358" spans="1:7" ht="12.5" x14ac:dyDescent="0.25">
      <c r="A358" s="9" t="str">
        <f ca="1">IFERROR(__xludf.DUMMYFUNCTION("""COMPUTED_VALUE"""),"TPN1641 - Teknologi Pangan Fungsional")</f>
        <v>TPN1641 - Teknologi Pangan Fungsional</v>
      </c>
      <c r="B358" s="44">
        <v>357</v>
      </c>
      <c r="C358" s="35" t="str">
        <f t="shared" ca="1" si="12"/>
        <v>TPN1641</v>
      </c>
      <c r="D358" s="35" t="str">
        <f t="shared" ca="1" si="13"/>
        <v>Teknologi Pangan Fungsional</v>
      </c>
      <c r="E358" s="44">
        <f ca="1">IFERROR(VLOOKUP(A358,Mentah!D:J,7,FALSE),"")</f>
        <v>2</v>
      </c>
      <c r="F358" s="44" t="str">
        <f ca="1">IFERROR(VLOOKUP(A358,Mentah!D:K,8,FALSE),"")</f>
        <v>F252</v>
      </c>
      <c r="G358" s="35" t="str">
        <f t="shared" ca="1" si="9"/>
        <v>('TPN1641','Teknologi Pangan Fungsional','2','F252'),</v>
      </c>
    </row>
    <row r="359" spans="1:7" ht="12.5" x14ac:dyDescent="0.25">
      <c r="A359" s="9" t="str">
        <f ca="1">IFERROR(__xludf.DUMMYFUNCTION("""COMPUTED_VALUE"""),"TIN1592 - Metodologi Penelitian")</f>
        <v>TIN1592 - Metodologi Penelitian</v>
      </c>
      <c r="B359" s="44">
        <v>358</v>
      </c>
      <c r="C359" s="35" t="str">
        <f t="shared" ca="1" si="12"/>
        <v>TIN1592</v>
      </c>
      <c r="D359" s="35" t="str">
        <f t="shared" ca="1" si="13"/>
        <v>Metodologi Penelitian</v>
      </c>
      <c r="E359" s="44">
        <f ca="1">IFERROR(VLOOKUP(A359,Mentah!D:J,7,FALSE),"")</f>
        <v>2</v>
      </c>
      <c r="F359" s="44" t="str">
        <f ca="1">IFERROR(VLOOKUP(A359,Mentah!D:K,8,FALSE),"")</f>
        <v>F351</v>
      </c>
      <c r="G359" s="35" t="str">
        <f t="shared" ca="1" si="9"/>
        <v>('TIN1592','Metodologi Penelitian','2','F351'),</v>
      </c>
    </row>
    <row r="360" spans="1:7" ht="12.5" x14ac:dyDescent="0.25">
      <c r="A360" s="9" t="str">
        <f ca="1">IFERROR(__xludf.DUMMYFUNCTION("""COMPUTED_VALUE"""),"TIN1562 - Produksi Bersih Lanjut")</f>
        <v>TIN1562 - Produksi Bersih Lanjut</v>
      </c>
      <c r="B360" s="44">
        <v>359</v>
      </c>
      <c r="C360" s="35" t="str">
        <f t="shared" ca="1" si="12"/>
        <v>TIN1562</v>
      </c>
      <c r="D360" s="35" t="str">
        <f t="shared" ca="1" si="13"/>
        <v>Produksi Bersih Lanjut</v>
      </c>
      <c r="E360" s="44">
        <f ca="1">IFERROR(VLOOKUP(A360,Mentah!D:J,7,FALSE),"")</f>
        <v>2</v>
      </c>
      <c r="F360" s="44" t="str">
        <f ca="1">IFERROR(VLOOKUP(A360,Mentah!D:K,8,FALSE),"")</f>
        <v>F351</v>
      </c>
      <c r="G360" s="35" t="str">
        <f t="shared" ca="1" si="9"/>
        <v>('TIN1562','Produksi Bersih Lanjut','2','F351'),</v>
      </c>
    </row>
    <row r="361" spans="1:7" ht="12.5" x14ac:dyDescent="0.25">
      <c r="A361" s="9" t="str">
        <f ca="1">IFERROR(__xludf.DUMMYFUNCTION("""COMPUTED_VALUE"""),"TIN1617 - Sistem Informasi Logistik dan Rantai Pasok")</f>
        <v>TIN1617 - Sistem Informasi Logistik dan Rantai Pasok</v>
      </c>
      <c r="B361" s="44">
        <v>360</v>
      </c>
      <c r="C361" s="35" t="str">
        <f t="shared" ca="1" si="12"/>
        <v>TIN1617</v>
      </c>
      <c r="D361" s="35" t="str">
        <f t="shared" ca="1" si="13"/>
        <v>Sistem Informasi Logistik dan Rantai Pasok</v>
      </c>
      <c r="E361" s="44">
        <f ca="1">IFERROR(VLOOKUP(A361,Mentah!D:J,7,FALSE),"")</f>
        <v>2</v>
      </c>
      <c r="F361" s="44" t="str">
        <f ca="1">IFERROR(VLOOKUP(A361,Mentah!D:K,8,FALSE),"")</f>
        <v>F351</v>
      </c>
      <c r="G361" s="35" t="str">
        <f t="shared" ca="1" si="9"/>
        <v>('TIN1617','Sistem Informasi Logistik dan Rantai Pasok','2','F351'),</v>
      </c>
    </row>
    <row r="362" spans="1:7" ht="12.5" x14ac:dyDescent="0.25">
      <c r="A362" s="9" t="str">
        <f ca="1">IFERROR(__xludf.DUMMYFUNCTION("""COMPUTED_VALUE"""),"TIN1662 - Teknologi Pengelolaan Limbah Padat dan B3")</f>
        <v>TIN1662 - Teknologi Pengelolaan Limbah Padat dan B3</v>
      </c>
      <c r="B362" s="44">
        <v>361</v>
      </c>
      <c r="C362" s="35" t="str">
        <f t="shared" ca="1" si="12"/>
        <v>TIN1662</v>
      </c>
      <c r="D362" s="35" t="str">
        <f t="shared" ca="1" si="13"/>
        <v>Teknologi Pengelolaan Limbah Padat dan B3</v>
      </c>
      <c r="E362" s="44">
        <f ca="1">IFERROR(VLOOKUP(A362,Mentah!D:J,7,FALSE),"")</f>
        <v>2</v>
      </c>
      <c r="F362" s="44" t="str">
        <f ca="1">IFERROR(VLOOKUP(A362,Mentah!D:K,8,FALSE),"")</f>
        <v>F351</v>
      </c>
      <c r="G362" s="35" t="str">
        <f t="shared" ca="1" si="9"/>
        <v>('TIN1662','Teknologi Pengelolaan Limbah Padat dan B3','2','F351'),</v>
      </c>
    </row>
    <row r="363" spans="1:7" ht="12.5" x14ac:dyDescent="0.25">
      <c r="A363" s="9" t="str">
        <f ca="1">IFERROR(__xludf.DUMMYFUNCTION("""COMPUTED_VALUE"""),"TIN1675 - Teknopreneurship dan Inovasi Bisnis")</f>
        <v>TIN1675 - Teknopreneurship dan Inovasi Bisnis</v>
      </c>
      <c r="B363" s="44">
        <v>362</v>
      </c>
      <c r="C363" s="35" t="str">
        <f t="shared" ca="1" si="12"/>
        <v>TIN1675</v>
      </c>
      <c r="D363" s="35" t="str">
        <f t="shared" ca="1" si="13"/>
        <v>Teknopreneurship dan Inovasi Bisnis</v>
      </c>
      <c r="E363" s="44">
        <f ca="1">IFERROR(VLOOKUP(A363,Mentah!D:J,7,FALSE),"")</f>
        <v>2</v>
      </c>
      <c r="F363" s="44" t="str">
        <f ca="1">IFERROR(VLOOKUP(A363,Mentah!D:K,8,FALSE),"")</f>
        <v>F351</v>
      </c>
      <c r="G363" s="35" t="str">
        <f t="shared" ca="1" si="9"/>
        <v>('TIN1675','Teknopreneurship dan Inovasi Bisnis','2','F351'),</v>
      </c>
    </row>
    <row r="364" spans="1:7" ht="12.5" x14ac:dyDescent="0.25">
      <c r="A364" s="9" t="str">
        <f ca="1">IFERROR(__xludf.DUMMYFUNCTION("""COMPUTED_VALUE"""),"TIN1521 - Rekayasa Perancangan Proses")</f>
        <v>TIN1521 - Rekayasa Perancangan Proses</v>
      </c>
      <c r="B364" s="44">
        <v>363</v>
      </c>
      <c r="C364" s="35" t="str">
        <f t="shared" ca="1" si="12"/>
        <v>TIN1521</v>
      </c>
      <c r="D364" s="35" t="str">
        <f t="shared" ca="1" si="13"/>
        <v>Rekayasa Perancangan Proses</v>
      </c>
      <c r="E364" s="44">
        <f ca="1">IFERROR(VLOOKUP(A364,Mentah!D:J,7,FALSE),"")</f>
        <v>1</v>
      </c>
      <c r="F364" s="44" t="str">
        <f ca="1">IFERROR(VLOOKUP(A364,Mentah!D:K,8,FALSE),"")</f>
        <v>F351</v>
      </c>
      <c r="G364" s="35" t="str">
        <f t="shared" ca="1" si="9"/>
        <v>('TIN1521','Rekayasa Perancangan Proses','1','F351'),</v>
      </c>
    </row>
    <row r="365" spans="1:7" ht="12.5" x14ac:dyDescent="0.25">
      <c r="A365" s="9" t="str">
        <f ca="1">IFERROR(__xludf.DUMMYFUNCTION("""COMPUTED_VALUE"""),"TIN1619 - Intelejensia Bisnis")</f>
        <v>TIN1619 - Intelejensia Bisnis</v>
      </c>
      <c r="B365" s="44">
        <v>364</v>
      </c>
      <c r="C365" s="35" t="str">
        <f t="shared" ca="1" si="12"/>
        <v>TIN1619</v>
      </c>
      <c r="D365" s="35" t="str">
        <f t="shared" ca="1" si="13"/>
        <v>Intelejensia Bisnis</v>
      </c>
      <c r="E365" s="44">
        <f ca="1">IFERROR(VLOOKUP(A365,Mentah!D:J,7,FALSE),"")</f>
        <v>2</v>
      </c>
      <c r="F365" s="44" t="str">
        <f ca="1">IFERROR(VLOOKUP(A365,Mentah!D:K,8,FALSE),"")</f>
        <v>F351</v>
      </c>
      <c r="G365" s="35" t="str">
        <f t="shared" ca="1" si="9"/>
        <v>('TIN1619','Intelejensia Bisnis','2','F351'),</v>
      </c>
    </row>
    <row r="366" spans="1:7" ht="12.5" x14ac:dyDescent="0.25">
      <c r="A366" s="9" t="str">
        <f ca="1">IFERROR(__xludf.DUMMYFUNCTION("""COMPUTED_VALUE"""),"TIN1629 - Nanoteknologi untuk Agroindustri")</f>
        <v>TIN1629 - Nanoteknologi untuk Agroindustri</v>
      </c>
      <c r="B366" s="44">
        <v>365</v>
      </c>
      <c r="C366" s="35" t="str">
        <f t="shared" ca="1" si="12"/>
        <v>TIN1629</v>
      </c>
      <c r="D366" s="35" t="str">
        <f t="shared" ca="1" si="13"/>
        <v>Nanoteknologi untuk Agroindustri</v>
      </c>
      <c r="E366" s="44">
        <f ca="1">IFERROR(VLOOKUP(A366,Mentah!D:J,7,FALSE),"")</f>
        <v>2</v>
      </c>
      <c r="F366" s="44" t="str">
        <f ca="1">IFERROR(VLOOKUP(A366,Mentah!D:K,8,FALSE),"")</f>
        <v>F351</v>
      </c>
      <c r="G366" s="35" t="str">
        <f t="shared" ca="1" si="9"/>
        <v>('TIN1629','Nanoteknologi untuk Agroindustri','2','F351'),</v>
      </c>
    </row>
    <row r="367" spans="1:7" ht="12.5" x14ac:dyDescent="0.25">
      <c r="A367" s="9" t="str">
        <f ca="1">IFERROR(__xludf.DUMMYFUNCTION("""COMPUTED_VALUE"""),"TIN1651 - Pengendalian Mutu")</f>
        <v>TIN1651 - Pengendalian Mutu</v>
      </c>
      <c r="B367" s="44">
        <v>366</v>
      </c>
      <c r="C367" s="35" t="str">
        <f t="shared" ca="1" si="12"/>
        <v>TIN1651</v>
      </c>
      <c r="D367" s="35" t="str">
        <f t="shared" ca="1" si="13"/>
        <v>Pengendalian Mutu</v>
      </c>
      <c r="E367" s="44">
        <f ca="1">IFERROR(VLOOKUP(A367,Mentah!D:J,7,FALSE),"")</f>
        <v>2</v>
      </c>
      <c r="F367" s="44" t="str">
        <f ca="1">IFERROR(VLOOKUP(A367,Mentah!D:K,8,FALSE),"")</f>
        <v>F351</v>
      </c>
      <c r="G367" s="35" t="str">
        <f t="shared" ca="1" si="9"/>
        <v>('TIN1651','Pengendalian Mutu','2','F351'),</v>
      </c>
    </row>
    <row r="368" spans="1:7" ht="12.5" x14ac:dyDescent="0.25">
      <c r="A368" s="9" t="str">
        <f ca="1">IFERROR(__xludf.DUMMYFUNCTION("""COMPUTED_VALUE"""),"TIN1678 - Teknik Distribusi dan Transportasi")</f>
        <v>TIN1678 - Teknik Distribusi dan Transportasi</v>
      </c>
      <c r="B368" s="44">
        <v>367</v>
      </c>
      <c r="C368" s="35" t="str">
        <f t="shared" ca="1" si="12"/>
        <v>TIN1678</v>
      </c>
      <c r="D368" s="35" t="str">
        <f t="shared" ca="1" si="13"/>
        <v>Teknik Distribusi dan Transportasi</v>
      </c>
      <c r="E368" s="44">
        <f ca="1">IFERROR(VLOOKUP(A368,Mentah!D:J,7,FALSE),"")</f>
        <v>2</v>
      </c>
      <c r="F368" s="44" t="str">
        <f ca="1">IFERROR(VLOOKUP(A368,Mentah!D:K,8,FALSE),"")</f>
        <v>F351</v>
      </c>
      <c r="G368" s="35" t="str">
        <f t="shared" ca="1" si="9"/>
        <v>('TIN1678','Teknik Distribusi dan Transportasi','2','F351'),</v>
      </c>
    </row>
    <row r="369" spans="1:7" ht="12.5" x14ac:dyDescent="0.25">
      <c r="A369" s="9" t="str">
        <f ca="1">IFERROR(__xludf.DUMMYFUNCTION("""COMPUTED_VALUE"""),"TIN1511 - Analisis dan Desain Sistem Produksi Agroindustri")</f>
        <v>TIN1511 - Analisis dan Desain Sistem Produksi Agroindustri</v>
      </c>
      <c r="B369" s="44">
        <v>368</v>
      </c>
      <c r="C369" s="35" t="str">
        <f t="shared" ca="1" si="12"/>
        <v>TIN1511</v>
      </c>
      <c r="D369" s="35" t="str">
        <f t="shared" ca="1" si="13"/>
        <v>Analisis dan Desain Sistem Produksi Agroindustri</v>
      </c>
      <c r="E369" s="44">
        <f ca="1">IFERROR(VLOOKUP(A369,Mentah!D:J,7,FALSE),"")</f>
        <v>2</v>
      </c>
      <c r="F369" s="44" t="str">
        <f ca="1">IFERROR(VLOOKUP(A369,Mentah!D:K,8,FALSE),"")</f>
        <v>F351</v>
      </c>
      <c r="G369" s="35" t="str">
        <f t="shared" ca="1" si="9"/>
        <v>('TIN1511','Analisis dan Desain Sistem Produksi Agroindustri','2','F351'),</v>
      </c>
    </row>
    <row r="370" spans="1:7" ht="12.5" x14ac:dyDescent="0.25">
      <c r="A370" s="9" t="str">
        <f ca="1">IFERROR(__xludf.DUMMYFUNCTION("""COMPUTED_VALUE"""),"TIN1664 - Analisis dan Pengelolaan Resiko Lingkungan")</f>
        <v>TIN1664 - Analisis dan Pengelolaan Resiko Lingkungan</v>
      </c>
      <c r="B370" s="44">
        <v>369</v>
      </c>
      <c r="C370" s="35" t="str">
        <f t="shared" ca="1" si="12"/>
        <v>TIN1664</v>
      </c>
      <c r="D370" s="35" t="str">
        <f t="shared" ca="1" si="13"/>
        <v>Analisis dan Pengelolaan Resiko Lingkungan</v>
      </c>
      <c r="E370" s="44">
        <f ca="1">IFERROR(VLOOKUP(A370,Mentah!D:J,7,FALSE),"")</f>
        <v>2</v>
      </c>
      <c r="F370" s="44" t="str">
        <f ca="1">IFERROR(VLOOKUP(A370,Mentah!D:K,8,FALSE),"")</f>
        <v>F351</v>
      </c>
      <c r="G370" s="35" t="str">
        <f t="shared" ca="1" si="9"/>
        <v>('TIN1664','Analisis dan Pengelolaan Resiko Lingkungan','2','F351'),</v>
      </c>
    </row>
    <row r="371" spans="1:7" ht="12.5" x14ac:dyDescent="0.25">
      <c r="A371" s="9" t="str">
        <f ca="1">IFERROR(__xludf.DUMMYFUNCTION("""COMPUTED_VALUE"""),"TIN1644 - Rekayasa Proses Pengemasan dan Mutu Produk")</f>
        <v>TIN1644 - Rekayasa Proses Pengemasan dan Mutu Produk</v>
      </c>
      <c r="B371" s="44">
        <v>370</v>
      </c>
      <c r="C371" s="35" t="str">
        <f t="shared" ca="1" si="12"/>
        <v>TIN1644</v>
      </c>
      <c r="D371" s="35" t="str">
        <f t="shared" ca="1" si="13"/>
        <v>Rekayasa Proses Pengemasan dan Mutu Produk</v>
      </c>
      <c r="E371" s="44">
        <f ca="1">IFERROR(VLOOKUP(A371,Mentah!D:J,7,FALSE),"")</f>
        <v>2</v>
      </c>
      <c r="F371" s="44" t="str">
        <f ca="1">IFERROR(VLOOKUP(A371,Mentah!D:K,8,FALSE),"")</f>
        <v>F351</v>
      </c>
      <c r="G371" s="35" t="str">
        <f t="shared" ca="1" si="9"/>
        <v>('TIN1644','Rekayasa Proses Pengemasan dan Mutu Produk','2','F351'),</v>
      </c>
    </row>
    <row r="372" spans="1:7" ht="12.5" x14ac:dyDescent="0.25">
      <c r="A372" s="9" t="str">
        <f ca="1">IFERROR(__xludf.DUMMYFUNCTION("""COMPUTED_VALUE"""),"TIN1691 - Topik Khusus Penyusunan Proposal Tesis")</f>
        <v>TIN1691 - Topik Khusus Penyusunan Proposal Tesis</v>
      </c>
      <c r="B372" s="44">
        <v>371</v>
      </c>
      <c r="C372" s="35" t="str">
        <f t="shared" ca="1" si="12"/>
        <v>TIN1691</v>
      </c>
      <c r="D372" s="35" t="str">
        <f t="shared" ca="1" si="13"/>
        <v>Topik Khusus Penyusunan Proposal Tesis</v>
      </c>
      <c r="E372" s="44">
        <f ca="1">IFERROR(VLOOKUP(A372,Mentah!D:J,7,FALSE),"")</f>
        <v>2</v>
      </c>
      <c r="F372" s="44" t="str">
        <f ca="1">IFERROR(VLOOKUP(A372,Mentah!D:K,8,FALSE),"")</f>
        <v>F351</v>
      </c>
      <c r="G372" s="35" t="str">
        <f t="shared" ca="1" si="9"/>
        <v>('TIN1691','Topik Khusus Penyusunan Proposal Tesis','2','F351'),</v>
      </c>
    </row>
    <row r="373" spans="1:7" ht="12.5" x14ac:dyDescent="0.25">
      <c r="A373" s="9" t="str">
        <f ca="1">IFERROR(__xludf.DUMMYFUNCTION("""COMPUTED_VALUE"""),"TIN1612 - Rekayasa Sistem Mutu")</f>
        <v>TIN1612 - Rekayasa Sistem Mutu</v>
      </c>
      <c r="B373" s="44">
        <v>372</v>
      </c>
      <c r="C373" s="35" t="str">
        <f t="shared" ca="1" si="12"/>
        <v>TIN1612</v>
      </c>
      <c r="D373" s="35" t="str">
        <f t="shared" ca="1" si="13"/>
        <v>Rekayasa Sistem Mutu</v>
      </c>
      <c r="E373" s="44">
        <f ca="1">IFERROR(VLOOKUP(A373,Mentah!D:J,7,FALSE),"")</f>
        <v>2</v>
      </c>
      <c r="F373" s="44" t="str">
        <f ca="1">IFERROR(VLOOKUP(A373,Mentah!D:K,8,FALSE),"")</f>
        <v>F351</v>
      </c>
      <c r="G373" s="35" t="str">
        <f t="shared" ca="1" si="9"/>
        <v>('TIN1612','Rekayasa Sistem Mutu','2','F351'),</v>
      </c>
    </row>
    <row r="374" spans="1:7" ht="12.5" x14ac:dyDescent="0.25">
      <c r="A374" s="9" t="str">
        <f ca="1">IFERROR(__xludf.DUMMYFUNCTION("""COMPUTED_VALUE"""),"TIN162A - Rekayasa Proses dan Produk Bioenergi")</f>
        <v>TIN162A - Rekayasa Proses dan Produk Bioenergi</v>
      </c>
      <c r="B374" s="44">
        <v>373</v>
      </c>
      <c r="C374" s="35" t="str">
        <f t="shared" ca="1" si="12"/>
        <v>TIN162A</v>
      </c>
      <c r="D374" s="35" t="str">
        <f t="shared" ca="1" si="13"/>
        <v>Rekayasa Proses dan Produk Bioenergi</v>
      </c>
      <c r="E374" s="44">
        <f ca="1">IFERROR(VLOOKUP(A374,Mentah!D:J,7,FALSE),"")</f>
        <v>2</v>
      </c>
      <c r="F374" s="44" t="str">
        <f ca="1">IFERROR(VLOOKUP(A374,Mentah!D:K,8,FALSE),"")</f>
        <v>F351</v>
      </c>
      <c r="G374" s="35" t="str">
        <f t="shared" ca="1" si="9"/>
        <v>('TIN162A','Rekayasa Proses dan Produk Bioenergi','2','F351'),</v>
      </c>
    </row>
    <row r="375" spans="1:7" ht="12.5" x14ac:dyDescent="0.25">
      <c r="A375" s="9" t="str">
        <f ca="1">IFERROR(__xludf.DUMMYFUNCTION("""COMPUTED_VALUE"""),"TIN1692 - Kolokium")</f>
        <v>TIN1692 - Kolokium</v>
      </c>
      <c r="B375" s="44">
        <v>374</v>
      </c>
      <c r="C375" s="35" t="str">
        <f t="shared" ca="1" si="12"/>
        <v>TIN1692</v>
      </c>
      <c r="D375" s="35" t="str">
        <f t="shared" ca="1" si="13"/>
        <v>Kolokium</v>
      </c>
      <c r="E375" s="44">
        <f ca="1">IFERROR(VLOOKUP(A375,Mentah!D:J,7,FALSE),"")</f>
        <v>2</v>
      </c>
      <c r="F375" s="44" t="str">
        <f ca="1">IFERROR(VLOOKUP(A375,Mentah!D:K,8,FALSE),"")</f>
        <v>F351</v>
      </c>
      <c r="G375" s="35" t="str">
        <f t="shared" ca="1" si="9"/>
        <v>('TIN1692','Kolokium','2','F351'),</v>
      </c>
    </row>
    <row r="376" spans="1:7" ht="12.5" x14ac:dyDescent="0.25">
      <c r="A376" s="9" t="str">
        <f ca="1">IFERROR(__xludf.DUMMYFUNCTION("""COMPUTED_VALUE"""),"TIN1631 - Rekayasa Bioproses")</f>
        <v>TIN1631 - Rekayasa Bioproses</v>
      </c>
      <c r="B376" s="44">
        <v>375</v>
      </c>
      <c r="C376" s="35" t="str">
        <f t="shared" ca="1" si="12"/>
        <v>TIN1631</v>
      </c>
      <c r="D376" s="35" t="str">
        <f t="shared" ca="1" si="13"/>
        <v>Rekayasa Bioproses</v>
      </c>
      <c r="E376" s="44">
        <f ca="1">IFERROR(VLOOKUP(A376,Mentah!D:J,7,FALSE),"")</f>
        <v>2</v>
      </c>
      <c r="F376" s="44" t="str">
        <f ca="1">IFERROR(VLOOKUP(A376,Mentah!D:K,8,FALSE),"")</f>
        <v>F351</v>
      </c>
      <c r="G376" s="35" t="str">
        <f t="shared" ca="1" si="9"/>
        <v>('TIN1631','Rekayasa Bioproses','2','F351'),</v>
      </c>
    </row>
    <row r="377" spans="1:7" ht="12.5" x14ac:dyDescent="0.25">
      <c r="A377" s="9" t="str">
        <f ca="1">IFERROR(__xludf.DUMMYFUNCTION("""COMPUTED_VALUE"""),"TIN1633 - Teknologi Biotransformasi")</f>
        <v>TIN1633 - Teknologi Biotransformasi</v>
      </c>
      <c r="B377" s="44">
        <v>376</v>
      </c>
      <c r="C377" s="35" t="str">
        <f t="shared" ca="1" si="12"/>
        <v>TIN1633</v>
      </c>
      <c r="D377" s="35" t="str">
        <f t="shared" ca="1" si="13"/>
        <v>Teknologi Biotransformasi</v>
      </c>
      <c r="E377" s="44">
        <f ca="1">IFERROR(VLOOKUP(A377,Mentah!D:J,7,FALSE),"")</f>
        <v>2</v>
      </c>
      <c r="F377" s="44" t="str">
        <f ca="1">IFERROR(VLOOKUP(A377,Mentah!D:K,8,FALSE),"")</f>
        <v>F351</v>
      </c>
      <c r="G377" s="35" t="str">
        <f t="shared" ca="1" si="9"/>
        <v>('TIN1633','Teknologi Biotransformasi','2','F351'),</v>
      </c>
    </row>
    <row r="378" spans="1:7" ht="12.5" x14ac:dyDescent="0.25">
      <c r="A378" s="9" t="str">
        <f ca="1">IFERROR(__xludf.DUMMYFUNCTION("""COMPUTED_VALUE"""),"TIN1676 - Kreasi dan Pengembangan Bisnis Agroindustri")</f>
        <v>TIN1676 - Kreasi dan Pengembangan Bisnis Agroindustri</v>
      </c>
      <c r="B378" s="44">
        <v>377</v>
      </c>
      <c r="C378" s="35" t="str">
        <f t="shared" ca="1" si="12"/>
        <v>TIN1676</v>
      </c>
      <c r="D378" s="35" t="str">
        <f t="shared" ca="1" si="13"/>
        <v>Kreasi dan Pengembangan Bisnis Agroindustri</v>
      </c>
      <c r="E378" s="44">
        <f ca="1">IFERROR(VLOOKUP(A378,Mentah!D:J,7,FALSE),"")</f>
        <v>2</v>
      </c>
      <c r="F378" s="44" t="str">
        <f ca="1">IFERROR(VLOOKUP(A378,Mentah!D:K,8,FALSE),"")</f>
        <v>F351</v>
      </c>
      <c r="G378" s="35" t="str">
        <f t="shared" ca="1" si="9"/>
        <v>('TIN1676','Kreasi dan Pengembangan Bisnis Agroindustri','2','F351'),</v>
      </c>
    </row>
    <row r="379" spans="1:7" ht="12.5" x14ac:dyDescent="0.25">
      <c r="A379" s="9" t="str">
        <f ca="1">IFERROR(__xludf.DUMMYFUNCTION("""COMPUTED_VALUE"""),"TIN1663 - Teknologi Pengendalian dan Pencemaran Udara")</f>
        <v>TIN1663 - Teknologi Pengendalian dan Pencemaran Udara</v>
      </c>
      <c r="B379" s="44">
        <v>378</v>
      </c>
      <c r="C379" s="35" t="str">
        <f t="shared" ca="1" si="12"/>
        <v>TIN1663</v>
      </c>
      <c r="D379" s="35" t="str">
        <f t="shared" ca="1" si="13"/>
        <v>Teknologi Pengendalian dan Pencemaran Udara</v>
      </c>
      <c r="E379" s="44">
        <f ca="1">IFERROR(VLOOKUP(A379,Mentah!D:J,7,FALSE),"")</f>
        <v>2</v>
      </c>
      <c r="F379" s="44" t="str">
        <f ca="1">IFERROR(VLOOKUP(A379,Mentah!D:K,8,FALSE),"")</f>
        <v>F351</v>
      </c>
      <c r="G379" s="35" t="str">
        <f t="shared" ca="1" si="9"/>
        <v>('TIN1663','Teknologi Pengendalian dan Pencemaran Udara','2','F351'),</v>
      </c>
    </row>
    <row r="380" spans="1:7" ht="12.5" x14ac:dyDescent="0.25">
      <c r="A380" s="9" t="str">
        <f ca="1">IFERROR(__xludf.DUMMYFUNCTION("""COMPUTED_VALUE"""),"TIN1672 - Strategi Teknologi dan Manajemen Inovasi")</f>
        <v>TIN1672 - Strategi Teknologi dan Manajemen Inovasi</v>
      </c>
      <c r="B380" s="44">
        <v>379</v>
      </c>
      <c r="C380" s="35" t="str">
        <f t="shared" ca="1" si="12"/>
        <v>TIN1672</v>
      </c>
      <c r="D380" s="35" t="str">
        <f t="shared" ca="1" si="13"/>
        <v>Strategi Teknologi dan Manajemen Inovasi</v>
      </c>
      <c r="E380" s="44">
        <f ca="1">IFERROR(VLOOKUP(A380,Mentah!D:J,7,FALSE),"")</f>
        <v>2</v>
      </c>
      <c r="F380" s="44" t="str">
        <f ca="1">IFERROR(VLOOKUP(A380,Mentah!D:K,8,FALSE),"")</f>
        <v>F351</v>
      </c>
      <c r="G380" s="35" t="str">
        <f t="shared" ca="1" si="9"/>
        <v>('TIN1672','Strategi Teknologi dan Manajemen Inovasi','2','F351'),</v>
      </c>
    </row>
    <row r="381" spans="1:7" ht="12.5" x14ac:dyDescent="0.25">
      <c r="A381" s="9" t="str">
        <f ca="1">IFERROR(__xludf.DUMMYFUNCTION("""COMPUTED_VALUE"""),"SIL1621 - Bangunan dan Lingkungan")</f>
        <v>SIL1621 - Bangunan dan Lingkungan</v>
      </c>
      <c r="B381" s="44">
        <v>380</v>
      </c>
      <c r="C381" s="35" t="str">
        <f t="shared" ca="1" si="12"/>
        <v>SIL1621</v>
      </c>
      <c r="D381" s="35" t="str">
        <f t="shared" ca="1" si="13"/>
        <v>Bangunan dan Lingkungan</v>
      </c>
      <c r="E381" s="44">
        <f ca="1">IFERROR(VLOOKUP(A381,Mentah!D:J,7,FALSE),"")</f>
        <v>2</v>
      </c>
      <c r="F381" s="44" t="str">
        <f ca="1">IFERROR(VLOOKUP(A381,Mentah!D:K,8,FALSE),"")</f>
        <v>F451</v>
      </c>
      <c r="G381" s="35" t="str">
        <f t="shared" ca="1" si="9"/>
        <v>('SIL1621','Bangunan dan Lingkungan','2','F451'),</v>
      </c>
    </row>
    <row r="382" spans="1:7" ht="12.5" x14ac:dyDescent="0.25">
      <c r="A382" s="9" t="str">
        <f ca="1">IFERROR(__xludf.DUMMYFUNCTION("""COMPUTED_VALUE"""),"SIL1635 - Pemodelan Hidrologi")</f>
        <v>SIL1635 - Pemodelan Hidrologi</v>
      </c>
      <c r="B382" s="44">
        <v>381</v>
      </c>
      <c r="C382" s="35" t="str">
        <f t="shared" ca="1" si="12"/>
        <v>SIL1635</v>
      </c>
      <c r="D382" s="35" t="str">
        <f t="shared" ca="1" si="13"/>
        <v>Pemodelan Hidrologi</v>
      </c>
      <c r="E382" s="44">
        <f ca="1">IFERROR(VLOOKUP(A382,Mentah!D:J,7,FALSE),"")</f>
        <v>2</v>
      </c>
      <c r="F382" s="44" t="str">
        <f ca="1">IFERROR(VLOOKUP(A382,Mentah!D:K,8,FALSE),"")</f>
        <v>F451</v>
      </c>
      <c r="G382" s="35" t="str">
        <f t="shared" ca="1" si="9"/>
        <v>('SIL1635','Pemodelan Hidrologi','2','F451'),</v>
      </c>
    </row>
    <row r="383" spans="1:7" ht="12.5" x14ac:dyDescent="0.25">
      <c r="A383" s="9" t="str">
        <f ca="1">IFERROR(__xludf.DUMMYFUNCTION("""COMPUTED_VALUE"""),"SIL1613 - Teknik Pondasi Lanjut")</f>
        <v>SIL1613 - Teknik Pondasi Lanjut</v>
      </c>
      <c r="B383" s="44">
        <v>382</v>
      </c>
      <c r="C383" s="35" t="str">
        <f t="shared" ca="1" si="12"/>
        <v>SIL1613</v>
      </c>
      <c r="D383" s="35" t="str">
        <f t="shared" ca="1" si="13"/>
        <v>Teknik Pondasi Lanjut</v>
      </c>
      <c r="E383" s="44">
        <f ca="1">IFERROR(VLOOKUP(A383,Mentah!D:J,7,FALSE),"")</f>
        <v>2</v>
      </c>
      <c r="F383" s="44" t="str">
        <f ca="1">IFERROR(VLOOKUP(A383,Mentah!D:K,8,FALSE),"")</f>
        <v>F451</v>
      </c>
      <c r="G383" s="35" t="str">
        <f t="shared" ca="1" si="9"/>
        <v>('SIL1613','Teknik Pondasi Lanjut','2','F451'),</v>
      </c>
    </row>
    <row r="384" spans="1:7" ht="12.5" x14ac:dyDescent="0.25">
      <c r="A384" s="9" t="str">
        <f ca="1">IFERROR(__xludf.DUMMYFUNCTION("""COMPUTED_VALUE"""),"SIL1531 - Komputasi Dinamika Fluida (CFD)")</f>
        <v>SIL1531 - Komputasi Dinamika Fluida (CFD)</v>
      </c>
      <c r="B384" s="44">
        <v>383</v>
      </c>
      <c r="C384" s="35" t="str">
        <f t="shared" ca="1" si="12"/>
        <v>SIL1531</v>
      </c>
      <c r="D384" s="35" t="str">
        <f t="shared" ca="1" si="13"/>
        <v>Komputasi Dinamika Fluida (CFD)</v>
      </c>
      <c r="E384" s="44">
        <f ca="1">IFERROR(VLOOKUP(A384,Mentah!D:J,7,FALSE),"")</f>
        <v>2</v>
      </c>
      <c r="F384" s="44" t="str">
        <f ca="1">IFERROR(VLOOKUP(A384,Mentah!D:K,8,FALSE),"")</f>
        <v>F451</v>
      </c>
      <c r="G384" s="35" t="str">
        <f t="shared" ca="1" si="9"/>
        <v>('SIL1531','Komputasi Dinamika Fluida (CFD)','2','F451'),</v>
      </c>
    </row>
    <row r="385" spans="1:7" ht="12.5" x14ac:dyDescent="0.25">
      <c r="A385" s="9" t="str">
        <f ca="1">IFERROR(__xludf.DUMMYFUNCTION("""COMPUTED_VALUE"""),"SIL1625 - Rekayasa Lingkungan Pertanian")</f>
        <v>SIL1625 - Rekayasa Lingkungan Pertanian</v>
      </c>
      <c r="B385" s="44">
        <v>384</v>
      </c>
      <c r="C385" s="35" t="str">
        <f t="shared" ca="1" si="12"/>
        <v>SIL1625</v>
      </c>
      <c r="D385" s="35" t="str">
        <f t="shared" ca="1" si="13"/>
        <v>Rekayasa Lingkungan Pertanian</v>
      </c>
      <c r="E385" s="44">
        <f ca="1">IFERROR(VLOOKUP(A385,Mentah!D:J,7,FALSE),"")</f>
        <v>2</v>
      </c>
      <c r="F385" s="44" t="str">
        <f ca="1">IFERROR(VLOOKUP(A385,Mentah!D:K,8,FALSE),"")</f>
        <v>F451</v>
      </c>
      <c r="G385" s="35" t="str">
        <f t="shared" ca="1" si="9"/>
        <v>('SIL1625','Rekayasa Lingkungan Pertanian','2','F451'),</v>
      </c>
    </row>
    <row r="386" spans="1:7" ht="12.5" x14ac:dyDescent="0.25">
      <c r="A386" s="9" t="str">
        <f ca="1">IFERROR(__xludf.DUMMYFUNCTION("""COMPUTED_VALUE"""),"SIL1528 - Pemodelan Lingkungan")</f>
        <v>SIL1528 - Pemodelan Lingkungan</v>
      </c>
      <c r="B386" s="44">
        <v>385</v>
      </c>
      <c r="C386" s="35" t="str">
        <f t="shared" ref="C386:C449" ca="1" si="14">IFERROR(LEFT(A386,7),"")</f>
        <v>SIL1528</v>
      </c>
      <c r="D386" s="35" t="str">
        <f t="shared" ref="D386:D449" ca="1" si="15">IFERROR(MID(A386,11,99),"")</f>
        <v>Pemodelan Lingkungan</v>
      </c>
      <c r="E386" s="44">
        <f ca="1">IFERROR(VLOOKUP(A386,Mentah!D:J,7,FALSE),"")</f>
        <v>2</v>
      </c>
      <c r="F386" s="44" t="str">
        <f ca="1">IFERROR(VLOOKUP(A386,Mentah!D:K,8,FALSE),"")</f>
        <v>F451</v>
      </c>
      <c r="G386" s="35" t="str">
        <f t="shared" ca="1" si="9"/>
        <v>('SIL1528','Pemodelan Lingkungan','2','F451'),</v>
      </c>
    </row>
    <row r="387" spans="1:7" ht="12.5" x14ac:dyDescent="0.25">
      <c r="A387" s="9" t="str">
        <f ca="1">IFERROR(__xludf.DUMMYFUNCTION("""COMPUTED_VALUE"""),"SIL1512 - Teknik Konstruksi Bangunan")</f>
        <v>SIL1512 - Teknik Konstruksi Bangunan</v>
      </c>
      <c r="B387" s="44">
        <v>386</v>
      </c>
      <c r="C387" s="35" t="str">
        <f t="shared" ca="1" si="14"/>
        <v>SIL1512</v>
      </c>
      <c r="D387" s="35" t="str">
        <f t="shared" ca="1" si="15"/>
        <v>Teknik Konstruksi Bangunan</v>
      </c>
      <c r="E387" s="44">
        <f ca="1">IFERROR(VLOOKUP(A387,Mentah!D:J,7,FALSE),"")</f>
        <v>2</v>
      </c>
      <c r="F387" s="44" t="str">
        <f ca="1">IFERROR(VLOOKUP(A387,Mentah!D:K,8,FALSE),"")</f>
        <v>F451</v>
      </c>
      <c r="G387" s="35" t="str">
        <f t="shared" ca="1" si="9"/>
        <v>('SIL1512','Teknik Konstruksi Bangunan','2','F451'),</v>
      </c>
    </row>
    <row r="388" spans="1:7" ht="12.5" x14ac:dyDescent="0.25">
      <c r="A388" s="9" t="str">
        <f ca="1">IFERROR(__xludf.DUMMYFUNCTION("""COMPUTED_VALUE"""),"SIL1590 - Metodologi Penelitian Teknik Sipil dan Lingkungan")</f>
        <v>SIL1590 - Metodologi Penelitian Teknik Sipil dan Lingkungan</v>
      </c>
      <c r="B388" s="44">
        <v>387</v>
      </c>
      <c r="C388" s="35" t="str">
        <f t="shared" ca="1" si="14"/>
        <v>SIL1590</v>
      </c>
      <c r="D388" s="35" t="str">
        <f t="shared" ca="1" si="15"/>
        <v>Metodologi Penelitian Teknik Sipil dan Lingkungan</v>
      </c>
      <c r="E388" s="44">
        <f ca="1">IFERROR(VLOOKUP(A388,Mentah!D:J,7,FALSE),"")</f>
        <v>2</v>
      </c>
      <c r="F388" s="44" t="str">
        <f ca="1">IFERROR(VLOOKUP(A388,Mentah!D:K,8,FALSE),"")</f>
        <v>F451</v>
      </c>
      <c r="G388" s="35" t="str">
        <f t="shared" ca="1" si="9"/>
        <v>('SIL1590','Metodologi Penelitian Teknik Sipil dan Lingkungan','2','F451'),</v>
      </c>
    </row>
    <row r="389" spans="1:7" ht="12.5" x14ac:dyDescent="0.25">
      <c r="A389" s="9" t="str">
        <f ca="1">IFERROR(__xludf.DUMMYFUNCTION("""COMPUTED_VALUE"""),"SIL1615 - Metode Elemen Hingga untuk Geoteknik")</f>
        <v>SIL1615 - Metode Elemen Hingga untuk Geoteknik</v>
      </c>
      <c r="B389" s="44">
        <v>388</v>
      </c>
      <c r="C389" s="35" t="str">
        <f t="shared" ca="1" si="14"/>
        <v>SIL1615</v>
      </c>
      <c r="D389" s="35" t="str">
        <f t="shared" ca="1" si="15"/>
        <v>Metode Elemen Hingga untuk Geoteknik</v>
      </c>
      <c r="E389" s="44">
        <f ca="1">IFERROR(VLOOKUP(A389,Mentah!D:J,7,FALSE),"")</f>
        <v>2</v>
      </c>
      <c r="F389" s="44" t="str">
        <f ca="1">IFERROR(VLOOKUP(A389,Mentah!D:K,8,FALSE),"")</f>
        <v>F451</v>
      </c>
      <c r="G389" s="35" t="str">
        <f t="shared" ca="1" si="9"/>
        <v>('SIL1615','Metode Elemen Hingga untuk Geoteknik','2','F451'),</v>
      </c>
    </row>
    <row r="390" spans="1:7" ht="12.5" x14ac:dyDescent="0.25">
      <c r="A390" s="9" t="str">
        <f ca="1">IFERROR(__xludf.DUMMYFUNCTION("""COMPUTED_VALUE"""),"SIL1647 - Pemodelan dan Visualisasi Spasial")</f>
        <v>SIL1647 - Pemodelan dan Visualisasi Spasial</v>
      </c>
      <c r="B390" s="44">
        <v>389</v>
      </c>
      <c r="C390" s="35" t="str">
        <f t="shared" ca="1" si="14"/>
        <v>SIL1647</v>
      </c>
      <c r="D390" s="35" t="str">
        <f t="shared" ca="1" si="15"/>
        <v>Pemodelan dan Visualisasi Spasial</v>
      </c>
      <c r="E390" s="44">
        <f ca="1">IFERROR(VLOOKUP(A390,Mentah!D:J,7,FALSE),"")</f>
        <v>2</v>
      </c>
      <c r="F390" s="44" t="str">
        <f ca="1">IFERROR(VLOOKUP(A390,Mentah!D:K,8,FALSE),"")</f>
        <v>F451</v>
      </c>
      <c r="G390" s="35" t="str">
        <f t="shared" ca="1" si="9"/>
        <v>('SIL1647','Pemodelan dan Visualisasi Spasial','2','F451'),</v>
      </c>
    </row>
    <row r="391" spans="1:7" ht="12.5" x14ac:dyDescent="0.25">
      <c r="A391" s="9" t="str">
        <f ca="1">IFERROR(__xludf.DUMMYFUNCTION("""COMPUTED_VALUE"""),"SIL1502 - Kesehatan dan Keselamatan Kerja di Bidang Teknik Sipil dan Lingkungan")</f>
        <v>SIL1502 - Kesehatan dan Keselamatan Kerja di Bidang Teknik Sipil dan Lingkungan</v>
      </c>
      <c r="B391" s="44">
        <v>390</v>
      </c>
      <c r="C391" s="35" t="str">
        <f t="shared" ca="1" si="14"/>
        <v>SIL1502</v>
      </c>
      <c r="D391" s="35" t="str">
        <f t="shared" ca="1" si="15"/>
        <v>Kesehatan dan Keselamatan Kerja di Bidang Teknik Sipil dan Lingkungan</v>
      </c>
      <c r="E391" s="44">
        <f ca="1">IFERROR(VLOOKUP(A391,Mentah!D:J,7,FALSE),"")</f>
        <v>2</v>
      </c>
      <c r="F391" s="44" t="str">
        <f ca="1">IFERROR(VLOOKUP(A391,Mentah!D:K,8,FALSE),"")</f>
        <v>F451</v>
      </c>
      <c r="G391" s="35" t="str">
        <f t="shared" ca="1" si="9"/>
        <v>('SIL1502','Kesehatan dan Keselamatan Kerja di Bidang Teknik Sipil dan Lingkungan','2','F451'),</v>
      </c>
    </row>
    <row r="392" spans="1:7" ht="12.5" x14ac:dyDescent="0.25">
      <c r="A392" s="9" t="str">
        <f ca="1">IFERROR(__xludf.DUMMYFUNCTION("""COMPUTED_VALUE"""),"STA1541 - Analisis Peubah Ganda")</f>
        <v>STA1541 - Analisis Peubah Ganda</v>
      </c>
      <c r="B392" s="44">
        <v>391</v>
      </c>
      <c r="C392" s="35" t="str">
        <f t="shared" ca="1" si="14"/>
        <v>STA1541</v>
      </c>
      <c r="D392" s="35" t="str">
        <f t="shared" ca="1" si="15"/>
        <v>Analisis Peubah Ganda</v>
      </c>
      <c r="E392" s="44">
        <f ca="1">IFERROR(VLOOKUP(A392,Mentah!D:J,7,FALSE),"")</f>
        <v>2</v>
      </c>
      <c r="F392" s="44" t="str">
        <f ca="1">IFERROR(VLOOKUP(A392,Mentah!D:K,8,FALSE),"")</f>
        <v>G151</v>
      </c>
      <c r="G392" s="35" t="str">
        <f t="shared" ca="1" si="9"/>
        <v>('STA1541','Analisis Peubah Ganda','2','G151'),</v>
      </c>
    </row>
    <row r="393" spans="1:7" ht="12.5" x14ac:dyDescent="0.25">
      <c r="A393" s="9" t="str">
        <f ca="1">IFERROR(__xludf.DUMMYFUNCTION("""COMPUTED_VALUE"""),"STA1542 - Analisis Deret Waktu")</f>
        <v>STA1542 - Analisis Deret Waktu</v>
      </c>
      <c r="B393" s="44">
        <v>392</v>
      </c>
      <c r="C393" s="35" t="str">
        <f t="shared" ca="1" si="14"/>
        <v>STA1542</v>
      </c>
      <c r="D393" s="35" t="str">
        <f t="shared" ca="1" si="15"/>
        <v>Analisis Deret Waktu</v>
      </c>
      <c r="E393" s="44">
        <f ca="1">IFERROR(VLOOKUP(A393,Mentah!D:J,7,FALSE),"")</f>
        <v>2</v>
      </c>
      <c r="F393" s="44" t="str">
        <f ca="1">IFERROR(VLOOKUP(A393,Mentah!D:K,8,FALSE),"")</f>
        <v>G151</v>
      </c>
      <c r="G393" s="35" t="str">
        <f t="shared" ca="1" si="9"/>
        <v>('STA1542','Analisis Deret Waktu','2','G151'),</v>
      </c>
    </row>
    <row r="394" spans="1:7" ht="12.5" x14ac:dyDescent="0.25">
      <c r="A394" s="9" t="str">
        <f ca="1">IFERROR(__xludf.DUMMYFUNCTION("""COMPUTED_VALUE"""),"STA1582 - Pembelajaran Mesin Statistika")</f>
        <v>STA1582 - Pembelajaran Mesin Statistika</v>
      </c>
      <c r="B394" s="44">
        <v>393</v>
      </c>
      <c r="C394" s="35" t="str">
        <f t="shared" ca="1" si="14"/>
        <v>STA1582</v>
      </c>
      <c r="D394" s="35" t="str">
        <f t="shared" ca="1" si="15"/>
        <v>Pembelajaran Mesin Statistika</v>
      </c>
      <c r="E394" s="44">
        <f ca="1">IFERROR(VLOOKUP(A394,Mentah!D:J,7,FALSE),"")</f>
        <v>2</v>
      </c>
      <c r="F394" s="44" t="str">
        <f ca="1">IFERROR(VLOOKUP(A394,Mentah!D:K,8,FALSE),"")</f>
        <v>G151</v>
      </c>
      <c r="G394" s="35" t="str">
        <f t="shared" ca="1" si="9"/>
        <v>('STA1582','Pembelajaran Mesin Statistika','2','G151'),</v>
      </c>
    </row>
    <row r="395" spans="1:7" ht="12.5" x14ac:dyDescent="0.25">
      <c r="A395" s="9" t="str">
        <f ca="1">IFERROR(__xludf.DUMMYFUNCTION("""COMPUTED_VALUE"""),"STA1500 - Metode Penelitian Kuantitatif")</f>
        <v>STA1500 - Metode Penelitian Kuantitatif</v>
      </c>
      <c r="B395" s="44">
        <v>394</v>
      </c>
      <c r="C395" s="35" t="str">
        <f t="shared" ca="1" si="14"/>
        <v>STA1500</v>
      </c>
      <c r="D395" s="35" t="str">
        <f t="shared" ca="1" si="15"/>
        <v>Metode Penelitian Kuantitatif</v>
      </c>
      <c r="E395" s="44">
        <f ca="1">IFERROR(VLOOKUP(A395,Mentah!D:J,7,FALSE),"")</f>
        <v>2</v>
      </c>
      <c r="F395" s="44" t="str">
        <f ca="1">IFERROR(VLOOKUP(A395,Mentah!D:K,8,FALSE),"")</f>
        <v>G151</v>
      </c>
      <c r="G395" s="35" t="str">
        <f t="shared" ca="1" si="9"/>
        <v>('STA1500','Metode Penelitian Kuantitatif','2','G151'),</v>
      </c>
    </row>
    <row r="396" spans="1:7" ht="12.5" x14ac:dyDescent="0.25">
      <c r="A396" s="9" t="str">
        <f ca="1">IFERROR(__xludf.DUMMYFUNCTION("""COMPUTED_VALUE"""),"STA1521 - Analisis dan Perancangan Percobaan")</f>
        <v>STA1521 - Analisis dan Perancangan Percobaan</v>
      </c>
      <c r="B396" s="44">
        <v>395</v>
      </c>
      <c r="C396" s="35" t="str">
        <f t="shared" ca="1" si="14"/>
        <v>STA1521</v>
      </c>
      <c r="D396" s="35" t="str">
        <f t="shared" ca="1" si="15"/>
        <v>Analisis dan Perancangan Percobaan</v>
      </c>
      <c r="E396" s="44">
        <f ca="1">IFERROR(VLOOKUP(A396,Mentah!D:J,7,FALSE),"")</f>
        <v>2</v>
      </c>
      <c r="F396" s="44" t="str">
        <f ca="1">IFERROR(VLOOKUP(A396,Mentah!D:K,8,FALSE),"")</f>
        <v>G151</v>
      </c>
      <c r="G396" s="35" t="str">
        <f t="shared" ca="1" si="9"/>
        <v>('STA1521','Analisis dan Perancangan Percobaan','2','G151'),</v>
      </c>
    </row>
    <row r="397" spans="1:7" ht="12.5" x14ac:dyDescent="0.25">
      <c r="A397" s="9" t="str">
        <f ca="1">IFERROR(__xludf.DUMMYFUNCTION("""COMPUTED_VALUE"""),"STA1562 - Manajemen Data Statistika")</f>
        <v>STA1562 - Manajemen Data Statistika</v>
      </c>
      <c r="B397" s="44">
        <v>396</v>
      </c>
      <c r="C397" s="35" t="str">
        <f t="shared" ca="1" si="14"/>
        <v>STA1562</v>
      </c>
      <c r="D397" s="35" t="str">
        <f t="shared" ca="1" si="15"/>
        <v>Manajemen Data Statistika</v>
      </c>
      <c r="E397" s="44">
        <f ca="1">IFERROR(VLOOKUP(A397,Mentah!D:J,7,FALSE),"")</f>
        <v>2</v>
      </c>
      <c r="F397" s="44" t="str">
        <f ca="1">IFERROR(VLOOKUP(A397,Mentah!D:K,8,FALSE),"")</f>
        <v>G151</v>
      </c>
      <c r="G397" s="35" t="str">
        <f t="shared" ca="1" si="9"/>
        <v>('STA1562','Manajemen Data Statistika','2','G151'),</v>
      </c>
    </row>
    <row r="398" spans="1:7" ht="12.5" x14ac:dyDescent="0.25">
      <c r="A398" s="9" t="str">
        <f ca="1">IFERROR(__xludf.DUMMYFUNCTION("""COMPUTED_VALUE"""),"STA1501 - Teori Statistika")</f>
        <v>STA1501 - Teori Statistika</v>
      </c>
      <c r="B398" s="44">
        <v>397</v>
      </c>
      <c r="C398" s="35" t="str">
        <f t="shared" ca="1" si="14"/>
        <v>STA1501</v>
      </c>
      <c r="D398" s="35" t="str">
        <f t="shared" ca="1" si="15"/>
        <v>Teori Statistika</v>
      </c>
      <c r="E398" s="44">
        <f ca="1">IFERROR(VLOOKUP(A398,Mentah!D:J,7,FALSE),"")</f>
        <v>2</v>
      </c>
      <c r="F398" s="44" t="str">
        <f ca="1">IFERROR(VLOOKUP(A398,Mentah!D:K,8,FALSE),"")</f>
        <v>G151</v>
      </c>
      <c r="G398" s="35" t="str">
        <f t="shared" ca="1" si="9"/>
        <v>('STA1501','Teori Statistika','2','G151'),</v>
      </c>
    </row>
    <row r="399" spans="1:7" ht="12.5" x14ac:dyDescent="0.25">
      <c r="A399" s="9" t="str">
        <f ca="1">IFERROR(__xludf.DUMMYFUNCTION("""COMPUTED_VALUE"""),"STA1553 - Analisis Statistika Spasial")</f>
        <v>STA1553 - Analisis Statistika Spasial</v>
      </c>
      <c r="B399" s="44">
        <v>398</v>
      </c>
      <c r="C399" s="35" t="str">
        <f t="shared" ca="1" si="14"/>
        <v>STA1553</v>
      </c>
      <c r="D399" s="35" t="str">
        <f t="shared" ca="1" si="15"/>
        <v>Analisis Statistika Spasial</v>
      </c>
      <c r="E399" s="44">
        <f ca="1">IFERROR(VLOOKUP(A399,Mentah!D:J,7,FALSE),"")</f>
        <v>2</v>
      </c>
      <c r="F399" s="44" t="str">
        <f ca="1">IFERROR(VLOOKUP(A399,Mentah!D:K,8,FALSE),"")</f>
        <v>G151</v>
      </c>
      <c r="G399" s="35" t="str">
        <f t="shared" ca="1" si="9"/>
        <v>('STA1553','Analisis Statistika Spasial','2','G151'),</v>
      </c>
    </row>
    <row r="400" spans="1:7" ht="12.5" x14ac:dyDescent="0.25">
      <c r="A400" s="9" t="str">
        <f ca="1">IFERROR(__xludf.DUMMYFUNCTION("""COMPUTED_VALUE"""),"STA1583 - Text Analytics")</f>
        <v>STA1583 - Text Analytics</v>
      </c>
      <c r="B400" s="44">
        <v>399</v>
      </c>
      <c r="C400" s="35" t="str">
        <f t="shared" ca="1" si="14"/>
        <v>STA1583</v>
      </c>
      <c r="D400" s="35" t="str">
        <f t="shared" ca="1" si="15"/>
        <v>Text Analytics</v>
      </c>
      <c r="E400" s="44">
        <f ca="1">IFERROR(VLOOKUP(A400,Mentah!D:J,7,FALSE),"")</f>
        <v>2</v>
      </c>
      <c r="F400" s="44" t="str">
        <f ca="1">IFERROR(VLOOKUP(A400,Mentah!D:K,8,FALSE),"")</f>
        <v>G151</v>
      </c>
      <c r="G400" s="35" t="str">
        <f t="shared" ca="1" si="9"/>
        <v>('STA1583','Text Analytics','2','G151'),</v>
      </c>
    </row>
    <row r="401" spans="1:7" ht="12.5" x14ac:dyDescent="0.25">
      <c r="A401" s="9" t="str">
        <f ca="1">IFERROR(__xludf.DUMMYFUNCTION("""COMPUTED_VALUE"""),"STA1543 - Analisis Data Kategorik")</f>
        <v>STA1543 - Analisis Data Kategorik</v>
      </c>
      <c r="B401" s="44">
        <v>400</v>
      </c>
      <c r="C401" s="35" t="str">
        <f t="shared" ca="1" si="14"/>
        <v>STA1543</v>
      </c>
      <c r="D401" s="35" t="str">
        <f t="shared" ca="1" si="15"/>
        <v>Analisis Data Kategorik</v>
      </c>
      <c r="E401" s="44">
        <f ca="1">IFERROR(VLOOKUP(A401,Mentah!D:J,7,FALSE),"")</f>
        <v>2</v>
      </c>
      <c r="F401" s="44" t="str">
        <f ca="1">IFERROR(VLOOKUP(A401,Mentah!D:K,8,FALSE),"")</f>
        <v>G151</v>
      </c>
      <c r="G401" s="35" t="str">
        <f t="shared" ca="1" si="9"/>
        <v>('STA1543','Analisis Data Kategorik','2','G151'),</v>
      </c>
    </row>
    <row r="402" spans="1:7" ht="12.5" x14ac:dyDescent="0.25">
      <c r="A402" s="9" t="str">
        <f ca="1">IFERROR(__xludf.DUMMYFUNCTION("""COMPUTED_VALUE"""),"STA1544 - Analisis Data Observasional")</f>
        <v>STA1544 - Analisis Data Observasional</v>
      </c>
      <c r="B402" s="44">
        <v>401</v>
      </c>
      <c r="C402" s="35" t="str">
        <f t="shared" ca="1" si="14"/>
        <v>STA1544</v>
      </c>
      <c r="D402" s="35" t="str">
        <f t="shared" ca="1" si="15"/>
        <v>Analisis Data Observasional</v>
      </c>
      <c r="E402" s="44">
        <f ca="1">IFERROR(VLOOKUP(A402,Mentah!D:J,7,FALSE),"")</f>
        <v>2</v>
      </c>
      <c r="F402" s="44" t="str">
        <f ca="1">IFERROR(VLOOKUP(A402,Mentah!D:K,8,FALSE),"")</f>
        <v>G151</v>
      </c>
      <c r="G402" s="35" t="str">
        <f t="shared" ca="1" si="9"/>
        <v>('STA1544','Analisis Data Observasional','2','G151'),</v>
      </c>
    </row>
    <row r="403" spans="1:7" ht="12.5" x14ac:dyDescent="0.25">
      <c r="A403" s="9" t="str">
        <f ca="1">IFERROR(__xludf.DUMMYFUNCTION("""COMPUTED_VALUE"""),"STA1522 - Metode Penarikan Contoh")</f>
        <v>STA1522 - Metode Penarikan Contoh</v>
      </c>
      <c r="B403" s="44">
        <v>402</v>
      </c>
      <c r="C403" s="35" t="str">
        <f t="shared" ca="1" si="14"/>
        <v>STA1522</v>
      </c>
      <c r="D403" s="35" t="str">
        <f t="shared" ca="1" si="15"/>
        <v>Metode Penarikan Contoh</v>
      </c>
      <c r="E403" s="44">
        <f ca="1">IFERROR(VLOOKUP(A403,Mentah!D:J,7,FALSE),"")</f>
        <v>2</v>
      </c>
      <c r="F403" s="44" t="str">
        <f ca="1">IFERROR(VLOOKUP(A403,Mentah!D:K,8,FALSE),"")</f>
        <v>G151</v>
      </c>
      <c r="G403" s="35" t="str">
        <f t="shared" ca="1" si="9"/>
        <v>('STA1522','Metode Penarikan Contoh','2','G151'),</v>
      </c>
    </row>
    <row r="404" spans="1:7" ht="12.5" x14ac:dyDescent="0.25">
      <c r="A404" s="9" t="str">
        <f ca="1">IFERROR(__xludf.DUMMYFUNCTION("""COMPUTED_VALUE"""),"STA1554 - Psikometrika")</f>
        <v>STA1554 - Psikometrika</v>
      </c>
      <c r="B404" s="44">
        <v>403</v>
      </c>
      <c r="C404" s="35" t="str">
        <f t="shared" ca="1" si="14"/>
        <v>STA1554</v>
      </c>
      <c r="D404" s="35" t="str">
        <f t="shared" ca="1" si="15"/>
        <v>Psikometrika</v>
      </c>
      <c r="E404" s="44">
        <f ca="1">IFERROR(VLOOKUP(A404,Mentah!D:J,7,FALSE),"")</f>
        <v>2</v>
      </c>
      <c r="F404" s="44" t="str">
        <f ca="1">IFERROR(VLOOKUP(A404,Mentah!D:K,8,FALSE),"")</f>
        <v>G151</v>
      </c>
      <c r="G404" s="35" t="str">
        <f t="shared" ca="1" si="9"/>
        <v>('STA1554','Psikometrika','2','G151'),</v>
      </c>
    </row>
    <row r="405" spans="1:7" ht="12.5" x14ac:dyDescent="0.25">
      <c r="A405" s="9" t="str">
        <f ca="1">IFERROR(__xludf.DUMMYFUNCTION("""COMPUTED_VALUE"""),"GFM1640 - Interaksi Antara Iklim / Cuaca dan Tanaman")</f>
        <v>GFM1640 - Interaksi Antara Iklim / Cuaca dan Tanaman</v>
      </c>
      <c r="B405" s="44">
        <v>404</v>
      </c>
      <c r="C405" s="35" t="str">
        <f t="shared" ca="1" si="14"/>
        <v>GFM1640</v>
      </c>
      <c r="D405" s="35" t="str">
        <f t="shared" ca="1" si="15"/>
        <v>Interaksi Antara Iklim / Cuaca dan Tanaman</v>
      </c>
      <c r="E405" s="44">
        <f ca="1">IFERROR(VLOOKUP(A405,Mentah!D:J,7,FALSE),"")</f>
        <v>2</v>
      </c>
      <c r="F405" s="44" t="str">
        <f ca="1">IFERROR(VLOOKUP(A405,Mentah!D:K,8,FALSE),"")</f>
        <v>G251</v>
      </c>
      <c r="G405" s="35" t="str">
        <f t="shared" ca="1" si="9"/>
        <v>('GFM1640','Interaksi Antara Iklim / Cuaca dan Tanaman','2','G251'),</v>
      </c>
    </row>
    <row r="406" spans="1:7" ht="12.5" x14ac:dyDescent="0.25">
      <c r="A406" s="9" t="str">
        <f ca="1">IFERROR(__xludf.DUMMYFUNCTION("""COMPUTED_VALUE"""),"GFM1646 - Modifikasi Iklim dan Cuaca")</f>
        <v>GFM1646 - Modifikasi Iklim dan Cuaca</v>
      </c>
      <c r="B406" s="44">
        <v>405</v>
      </c>
      <c r="C406" s="35" t="str">
        <f t="shared" ca="1" si="14"/>
        <v>GFM1646</v>
      </c>
      <c r="D406" s="35" t="str">
        <f t="shared" ca="1" si="15"/>
        <v>Modifikasi Iklim dan Cuaca</v>
      </c>
      <c r="E406" s="44">
        <f ca="1">IFERROR(VLOOKUP(A406,Mentah!D:J,7,FALSE),"")</f>
        <v>2</v>
      </c>
      <c r="F406" s="44" t="str">
        <f ca="1">IFERROR(VLOOKUP(A406,Mentah!D:K,8,FALSE),"")</f>
        <v>G251</v>
      </c>
      <c r="G406" s="35" t="str">
        <f t="shared" ca="1" si="9"/>
        <v>('GFM1646','Modifikasi Iklim dan Cuaca','2','G251'),</v>
      </c>
    </row>
    <row r="407" spans="1:7" ht="12.5" x14ac:dyDescent="0.25">
      <c r="A407" s="9" t="str">
        <f ca="1">IFERROR(__xludf.DUMMYFUNCTION("""COMPUTED_VALUE"""),"GFM1604 - Topik Khusus dalam bidang Klimatologi Terapan 2")</f>
        <v>GFM1604 - Topik Khusus dalam bidang Klimatologi Terapan 2</v>
      </c>
      <c r="B407" s="44">
        <v>406</v>
      </c>
      <c r="C407" s="35" t="str">
        <f t="shared" ca="1" si="14"/>
        <v>GFM1604</v>
      </c>
      <c r="D407" s="35" t="str">
        <f t="shared" ca="1" si="15"/>
        <v>Topik Khusus dalam bidang Klimatologi Terapan 2</v>
      </c>
      <c r="E407" s="44">
        <f ca="1">IFERROR(VLOOKUP(A407,Mentah!D:J,7,FALSE),"")</f>
        <v>2</v>
      </c>
      <c r="F407" s="44" t="str">
        <f ca="1">IFERROR(VLOOKUP(A407,Mentah!D:K,8,FALSE),"")</f>
        <v>G251</v>
      </c>
      <c r="G407" s="35" t="str">
        <f t="shared" ca="1" si="9"/>
        <v>('GFM1604','Topik Khusus dalam bidang Klimatologi Terapan 2','2','G251'),</v>
      </c>
    </row>
    <row r="408" spans="1:7" ht="12.5" x14ac:dyDescent="0.25">
      <c r="A408" s="9" t="str">
        <f ca="1">IFERROR(__xludf.DUMMYFUNCTION("""COMPUTED_VALUE"""),"GFM1630 - Mitigasi Perubahan Iklim")</f>
        <v>GFM1630 - Mitigasi Perubahan Iklim</v>
      </c>
      <c r="B408" s="44">
        <v>407</v>
      </c>
      <c r="C408" s="35" t="str">
        <f t="shared" ca="1" si="14"/>
        <v>GFM1630</v>
      </c>
      <c r="D408" s="35" t="str">
        <f t="shared" ca="1" si="15"/>
        <v>Mitigasi Perubahan Iklim</v>
      </c>
      <c r="E408" s="44">
        <f ca="1">IFERROR(VLOOKUP(A408,Mentah!D:J,7,FALSE),"")</f>
        <v>2</v>
      </c>
      <c r="F408" s="44" t="str">
        <f ca="1">IFERROR(VLOOKUP(A408,Mentah!D:K,8,FALSE),"")</f>
        <v>G251</v>
      </c>
      <c r="G408" s="35" t="str">
        <f t="shared" ca="1" si="9"/>
        <v>('GFM1630','Mitigasi Perubahan Iklim','2','G251'),</v>
      </c>
    </row>
    <row r="409" spans="1:7" ht="12.5" x14ac:dyDescent="0.25">
      <c r="A409" s="9" t="str">
        <f ca="1">IFERROR(__xludf.DUMMYFUNCTION("""COMPUTED_VALUE"""),"GFM1632 - Analisis Sistem Hidrologi")</f>
        <v>GFM1632 - Analisis Sistem Hidrologi</v>
      </c>
      <c r="B409" s="44">
        <v>408</v>
      </c>
      <c r="C409" s="35" t="str">
        <f t="shared" ca="1" si="14"/>
        <v>GFM1632</v>
      </c>
      <c r="D409" s="35" t="str">
        <f t="shared" ca="1" si="15"/>
        <v>Analisis Sistem Hidrologi</v>
      </c>
      <c r="E409" s="44">
        <f ca="1">IFERROR(VLOOKUP(A409,Mentah!D:J,7,FALSE),"")</f>
        <v>2</v>
      </c>
      <c r="F409" s="44" t="str">
        <f ca="1">IFERROR(VLOOKUP(A409,Mentah!D:K,8,FALSE),"")</f>
        <v>G251</v>
      </c>
      <c r="G409" s="35" t="str">
        <f t="shared" ca="1" si="9"/>
        <v>('GFM1632','Analisis Sistem Hidrologi','2','G251'),</v>
      </c>
    </row>
    <row r="410" spans="1:7" ht="12.5" x14ac:dyDescent="0.25">
      <c r="A410" s="9" t="str">
        <f ca="1">IFERROR(__xludf.DUMMYFUNCTION("""COMPUTED_VALUE"""),"GFM1612 - Klimatologi Perkotaan")</f>
        <v>GFM1612 - Klimatologi Perkotaan</v>
      </c>
      <c r="B410" s="44">
        <v>409</v>
      </c>
      <c r="C410" s="35" t="str">
        <f t="shared" ca="1" si="14"/>
        <v>GFM1612</v>
      </c>
      <c r="D410" s="35" t="str">
        <f t="shared" ca="1" si="15"/>
        <v>Klimatologi Perkotaan</v>
      </c>
      <c r="E410" s="44">
        <f ca="1">IFERROR(VLOOKUP(A410,Mentah!D:J,7,FALSE),"")</f>
        <v>2</v>
      </c>
      <c r="F410" s="44" t="str">
        <f ca="1">IFERROR(VLOOKUP(A410,Mentah!D:K,8,FALSE),"")</f>
        <v>G251</v>
      </c>
      <c r="G410" s="35" t="str">
        <f t="shared" ca="1" si="9"/>
        <v>('GFM1612','Klimatologi Perkotaan','2','G251'),</v>
      </c>
    </row>
    <row r="411" spans="1:7" ht="12.5" x14ac:dyDescent="0.25">
      <c r="A411" s="9" t="str">
        <f ca="1">IFERROR(__xludf.DUMMYFUNCTION("""COMPUTED_VALUE"""),"GFM162A - Pemodelan Iklim")</f>
        <v>GFM162A - Pemodelan Iklim</v>
      </c>
      <c r="B411" s="44">
        <v>410</v>
      </c>
      <c r="C411" s="35" t="str">
        <f t="shared" ca="1" si="14"/>
        <v>GFM162A</v>
      </c>
      <c r="D411" s="35" t="str">
        <f t="shared" ca="1" si="15"/>
        <v>Pemodelan Iklim</v>
      </c>
      <c r="E411" s="44">
        <f ca="1">IFERROR(VLOOKUP(A411,Mentah!D:J,7,FALSE),"")</f>
        <v>2</v>
      </c>
      <c r="F411" s="44" t="str">
        <f ca="1">IFERROR(VLOOKUP(A411,Mentah!D:K,8,FALSE),"")</f>
        <v>G251</v>
      </c>
      <c r="G411" s="35" t="str">
        <f t="shared" ca="1" si="9"/>
        <v>('GFM162A','Pemodelan Iklim','2','G251'),</v>
      </c>
    </row>
    <row r="412" spans="1:7" ht="12.5" x14ac:dyDescent="0.25">
      <c r="A412" s="9" t="str">
        <f ca="1">IFERROR(__xludf.DUMMYFUNCTION("""COMPUTED_VALUE"""),"GFM1614 - Klimatologi Fisik Global")</f>
        <v>GFM1614 - Klimatologi Fisik Global</v>
      </c>
      <c r="B412" s="44">
        <v>411</v>
      </c>
      <c r="C412" s="35" t="str">
        <f t="shared" ca="1" si="14"/>
        <v>GFM1614</v>
      </c>
      <c r="D412" s="35" t="str">
        <f t="shared" ca="1" si="15"/>
        <v>Klimatologi Fisik Global</v>
      </c>
      <c r="E412" s="44">
        <f ca="1">IFERROR(VLOOKUP(A412,Mentah!D:J,7,FALSE),"")</f>
        <v>2</v>
      </c>
      <c r="F412" s="44" t="str">
        <f ca="1">IFERROR(VLOOKUP(A412,Mentah!D:K,8,FALSE),"")</f>
        <v>G251</v>
      </c>
      <c r="G412" s="35" t="str">
        <f t="shared" ca="1" si="9"/>
        <v>('GFM1614','Klimatologi Fisik Global','2','G251'),</v>
      </c>
    </row>
    <row r="413" spans="1:7" ht="12.5" x14ac:dyDescent="0.25">
      <c r="A413" s="9" t="str">
        <f ca="1">IFERROR(__xludf.DUMMYFUNCTION("""COMPUTED_VALUE"""),"GFM1622 - Metode Klimatologi Lanjut")</f>
        <v>GFM1622 - Metode Klimatologi Lanjut</v>
      </c>
      <c r="B413" s="44">
        <v>412</v>
      </c>
      <c r="C413" s="35" t="str">
        <f t="shared" ca="1" si="14"/>
        <v>GFM1622</v>
      </c>
      <c r="D413" s="35" t="str">
        <f t="shared" ca="1" si="15"/>
        <v>Metode Klimatologi Lanjut</v>
      </c>
      <c r="E413" s="44">
        <f ca="1">IFERROR(VLOOKUP(A413,Mentah!D:J,7,FALSE),"")</f>
        <v>2</v>
      </c>
      <c r="F413" s="44" t="str">
        <f ca="1">IFERROR(VLOOKUP(A413,Mentah!D:K,8,FALSE),"")</f>
        <v>G251</v>
      </c>
      <c r="G413" s="35" t="str">
        <f t="shared" ca="1" si="9"/>
        <v>('GFM1622','Metode Klimatologi Lanjut','2','G251'),</v>
      </c>
    </row>
    <row r="414" spans="1:7" ht="12.5" x14ac:dyDescent="0.25">
      <c r="A414" s="9" t="str">
        <f ca="1">IFERROR(__xludf.DUMMYFUNCTION("""COMPUTED_VALUE"""),"MIK151D - Proyek Prokariot")</f>
        <v>MIK151D - Proyek Prokariot</v>
      </c>
      <c r="B414" s="44">
        <v>413</v>
      </c>
      <c r="C414" s="35" t="str">
        <f t="shared" ca="1" si="14"/>
        <v>MIK151D</v>
      </c>
      <c r="D414" s="35" t="str">
        <f t="shared" ca="1" si="15"/>
        <v>Proyek Prokariot</v>
      </c>
      <c r="E414" s="44">
        <f ca="1">IFERROR(VLOOKUP(A414,Mentah!D:J,7,FALSE),"")</f>
        <v>2</v>
      </c>
      <c r="F414" s="44" t="str">
        <f ca="1">IFERROR(VLOOKUP(A414,Mentah!D:K,8,FALSE),"")</f>
        <v>G351</v>
      </c>
      <c r="G414" s="35" t="str">
        <f t="shared" ca="1" si="9"/>
        <v>('MIK151D','Proyek Prokariot','2','G351'),</v>
      </c>
    </row>
    <row r="415" spans="1:7" ht="12.5" x14ac:dyDescent="0.25">
      <c r="A415" s="9" t="str">
        <f ca="1">IFERROR(__xludf.DUMMYFUNCTION("""COMPUTED_VALUE"""),"BIO1621 - Bioteknologi Senyawa Antimikrob")</f>
        <v>BIO1621 - Bioteknologi Senyawa Antimikrob</v>
      </c>
      <c r="B415" s="44">
        <v>414</v>
      </c>
      <c r="C415" s="35" t="str">
        <f t="shared" ca="1" si="14"/>
        <v>BIO1621</v>
      </c>
      <c r="D415" s="35" t="str">
        <f t="shared" ca="1" si="15"/>
        <v>Bioteknologi Senyawa Antimikrob</v>
      </c>
      <c r="E415" s="44">
        <f ca="1">IFERROR(VLOOKUP(A415,Mentah!D:J,7,FALSE),"")</f>
        <v>2</v>
      </c>
      <c r="F415" s="44" t="str">
        <f ca="1">IFERROR(VLOOKUP(A415,Mentah!D:K,8,FALSE),"")</f>
        <v>G351</v>
      </c>
      <c r="G415" s="35" t="str">
        <f t="shared" ca="1" si="9"/>
        <v>('BIO1621','Bioteknologi Senyawa Antimikrob','2','G351'),</v>
      </c>
    </row>
    <row r="416" spans="1:7" ht="12.5" x14ac:dyDescent="0.25">
      <c r="A416" s="9" t="str">
        <f ca="1">IFERROR(__xludf.DUMMYFUNCTION("""COMPUTED_VALUE"""),"BIO1524 - Interaksi Mikrob Inang")</f>
        <v>BIO1524 - Interaksi Mikrob Inang</v>
      </c>
      <c r="B416" s="44">
        <v>415</v>
      </c>
      <c r="C416" s="35" t="str">
        <f t="shared" ca="1" si="14"/>
        <v>BIO1524</v>
      </c>
      <c r="D416" s="35" t="str">
        <f t="shared" ca="1" si="15"/>
        <v>Interaksi Mikrob Inang</v>
      </c>
      <c r="E416" s="44">
        <f ca="1">IFERROR(VLOOKUP(A416,Mentah!D:J,7,FALSE),"")</f>
        <v>2</v>
      </c>
      <c r="F416" s="44" t="str">
        <f ca="1">IFERROR(VLOOKUP(A416,Mentah!D:K,8,FALSE),"")</f>
        <v>G351</v>
      </c>
      <c r="G416" s="35" t="str">
        <f t="shared" ca="1" si="9"/>
        <v>('BIO1524','Interaksi Mikrob Inang','2','G351'),</v>
      </c>
    </row>
    <row r="417" spans="1:9" ht="12.5" x14ac:dyDescent="0.25">
      <c r="A417" s="9" t="str">
        <f ca="1">IFERROR(__xludf.DUMMYFUNCTION("""COMPUTED_VALUE"""),"BIO1514 - Mikrob dan Potensinya")</f>
        <v>BIO1514 - Mikrob dan Potensinya</v>
      </c>
      <c r="B417" s="44">
        <v>416</v>
      </c>
      <c r="C417" s="35" t="str">
        <f t="shared" ca="1" si="14"/>
        <v>BIO1514</v>
      </c>
      <c r="D417" s="35" t="str">
        <f t="shared" ca="1" si="15"/>
        <v>Mikrob dan Potensinya</v>
      </c>
      <c r="E417" s="44">
        <f ca="1">IFERROR(VLOOKUP(A417,Mentah!D:J,7,FALSE),"")</f>
        <v>2</v>
      </c>
      <c r="F417" s="44" t="str">
        <f ca="1">IFERROR(VLOOKUP(A417,Mentah!D:K,8,FALSE),"")</f>
        <v>G351</v>
      </c>
      <c r="G417" s="35" t="str">
        <f t="shared" ca="1" si="9"/>
        <v>('BIO1514','Mikrob dan Potensinya','2','G351'),</v>
      </c>
    </row>
    <row r="418" spans="1:9" ht="12.5" x14ac:dyDescent="0.25">
      <c r="A418" s="9" t="str">
        <f ca="1">IFERROR(__xludf.DUMMYFUNCTION("""COMPUTED_VALUE"""),"MIK152C - Proyek Mikologi")</f>
        <v>MIK152C - Proyek Mikologi</v>
      </c>
      <c r="B418" s="44">
        <v>417</v>
      </c>
      <c r="C418" s="35" t="str">
        <f t="shared" ca="1" si="14"/>
        <v>MIK152C</v>
      </c>
      <c r="D418" s="35" t="str">
        <f t="shared" ca="1" si="15"/>
        <v>Proyek Mikologi</v>
      </c>
      <c r="E418" s="44">
        <f ca="1">IFERROR(VLOOKUP(A418,Mentah!D:J,7,FALSE),"")</f>
        <v>2</v>
      </c>
      <c r="F418" s="44" t="str">
        <f ca="1">IFERROR(VLOOKUP(A418,Mentah!D:K,8,FALSE),"")</f>
        <v>G351</v>
      </c>
      <c r="G418" s="35" t="str">
        <f t="shared" ca="1" si="9"/>
        <v>('MIK152C','Proyek Mikologi','2','G351'),</v>
      </c>
    </row>
    <row r="419" spans="1:9" ht="12.5" x14ac:dyDescent="0.25">
      <c r="A419" s="9" t="str">
        <f ca="1">IFERROR(__xludf.DUMMYFUNCTION("""COMPUTED_VALUE"""),"BSH1561 - Perilaku Hewan")</f>
        <v>BSH1561 - Perilaku Hewan</v>
      </c>
      <c r="B419" s="44">
        <v>418</v>
      </c>
      <c r="C419" s="35" t="str">
        <f t="shared" ca="1" si="14"/>
        <v>BSH1561</v>
      </c>
      <c r="D419" s="35" t="str">
        <f t="shared" ca="1" si="15"/>
        <v>Perilaku Hewan</v>
      </c>
      <c r="E419" s="44">
        <f ca="1">IFERROR(VLOOKUP(A419,Mentah!D:J,7,FALSE),"")</f>
        <v>2</v>
      </c>
      <c r="F419" s="44" t="str">
        <f ca="1">IFERROR(VLOOKUP(A419,Mentah!D:K,8,FALSE),"")</f>
        <v>G352</v>
      </c>
      <c r="G419" s="35" t="str">
        <f t="shared" ca="1" si="9"/>
        <v>('BSH1561','Perilaku Hewan','2','G352'),</v>
      </c>
    </row>
    <row r="420" spans="1:9" ht="12.5" x14ac:dyDescent="0.25">
      <c r="A420" s="9" t="str">
        <f ca="1">IFERROR(__xludf.DUMMYFUNCTION("""COMPUTED_VALUE"""),"BSH1553 - Ekologi Hewan")</f>
        <v>BSH1553 - Ekologi Hewan</v>
      </c>
      <c r="B420" s="44">
        <v>419</v>
      </c>
      <c r="C420" s="35" t="str">
        <f t="shared" ca="1" si="14"/>
        <v>BSH1553</v>
      </c>
      <c r="D420" s="35" t="str">
        <f t="shared" ca="1" si="15"/>
        <v>Ekologi Hewan</v>
      </c>
      <c r="E420" s="44">
        <f ca="1">IFERROR(VLOOKUP(A420,Mentah!D:J,7,FALSE),"")</f>
        <v>2</v>
      </c>
      <c r="F420" s="44" t="str">
        <f ca="1">IFERROR(VLOOKUP(A420,Mentah!D:K,8,FALSE),"")</f>
        <v>G352</v>
      </c>
      <c r="G420" s="35" t="str">
        <f t="shared" ca="1" si="9"/>
        <v>('BSH1553','Ekologi Hewan','2','G352'),</v>
      </c>
    </row>
    <row r="421" spans="1:9" ht="12.5" x14ac:dyDescent="0.25">
      <c r="A421" s="9" t="str">
        <f ca="1">IFERROR(__xludf.DUMMYFUNCTION("""COMPUTED_VALUE"""),"BSH1555 - Evolusi Organik")</f>
        <v>BSH1555 - Evolusi Organik</v>
      </c>
      <c r="B421" s="44">
        <v>420</v>
      </c>
      <c r="C421" s="35" t="str">
        <f t="shared" ca="1" si="14"/>
        <v>BSH1555</v>
      </c>
      <c r="D421" s="35" t="str">
        <f t="shared" ca="1" si="15"/>
        <v>Evolusi Organik</v>
      </c>
      <c r="E421" s="44">
        <f ca="1">IFERROR(VLOOKUP(A421,Mentah!D:J,7,FALSE),"")</f>
        <v>2</v>
      </c>
      <c r="F421" s="44" t="str">
        <f ca="1">IFERROR(VLOOKUP(A421,Mentah!D:K,8,FALSE),"")</f>
        <v>G352</v>
      </c>
      <c r="G421" s="35" t="str">
        <f t="shared" ca="1" si="9"/>
        <v>('BSH1555','Evolusi Organik','2','G352'),</v>
      </c>
    </row>
    <row r="422" spans="1:9" ht="12.5" x14ac:dyDescent="0.25">
      <c r="A422" s="9" t="str">
        <f ca="1">IFERROR(__xludf.DUMMYFUNCTION("""COMPUTED_VALUE"""),"BSH1654 - Genetika Populasi")</f>
        <v>BSH1654 - Genetika Populasi</v>
      </c>
      <c r="B422" s="44">
        <v>421</v>
      </c>
      <c r="C422" s="35" t="str">
        <f t="shared" ca="1" si="14"/>
        <v>BSH1654</v>
      </c>
      <c r="D422" s="35" t="str">
        <f t="shared" ca="1" si="15"/>
        <v>Genetika Populasi</v>
      </c>
      <c r="E422" s="44">
        <f ca="1">IFERROR(VLOOKUP(A422,Mentah!D:J,7,FALSE),"")</f>
        <v>2</v>
      </c>
      <c r="F422" s="44" t="str">
        <f ca="1">IFERROR(VLOOKUP(A422,Mentah!D:K,8,FALSE),"")</f>
        <v>G352</v>
      </c>
      <c r="G422" s="35" t="str">
        <f t="shared" ca="1" si="9"/>
        <v>('BSH1654','Genetika Populasi','2','G352'),</v>
      </c>
    </row>
    <row r="423" spans="1:9" ht="12.5" x14ac:dyDescent="0.25">
      <c r="A423" s="9" t="str">
        <f ca="1">IFERROR(__xludf.DUMMYFUNCTION("""COMPUTED_VALUE"""),"BSH165A - Biologi Serangga Polinator")</f>
        <v>BSH165A - Biologi Serangga Polinator</v>
      </c>
      <c r="B423" s="44">
        <v>422</v>
      </c>
      <c r="C423" s="35" t="str">
        <f t="shared" ca="1" si="14"/>
        <v>BSH165A</v>
      </c>
      <c r="D423" s="35" t="str">
        <f t="shared" ca="1" si="15"/>
        <v>Biologi Serangga Polinator</v>
      </c>
      <c r="E423" s="44">
        <f ca="1">IFERROR(VLOOKUP(A423,Mentah!D:J,7,FALSE),"")</f>
        <v>2</v>
      </c>
      <c r="F423" s="44" t="str">
        <f ca="1">IFERROR(VLOOKUP(A423,Mentah!D:K,8,FALSE),"")</f>
        <v>G352</v>
      </c>
      <c r="G423" s="35" t="str">
        <f t="shared" ca="1" si="9"/>
        <v>('BSH165A','Biologi Serangga Polinator','2','G352'),</v>
      </c>
    </row>
    <row r="424" spans="1:9" ht="12.5" x14ac:dyDescent="0.25">
      <c r="A424" s="9" t="str">
        <f ca="1">IFERROR(__xludf.DUMMYFUNCTION("""COMPUTED_VALUE"""),"BSH1663 - Fisiologi Tradisi")</f>
        <v>BSH1663 - Fisiologi Tradisi</v>
      </c>
      <c r="B424" s="44">
        <v>423</v>
      </c>
      <c r="C424" s="35" t="str">
        <f t="shared" ca="1" si="14"/>
        <v>BSH1663</v>
      </c>
      <c r="D424" s="35" t="str">
        <f t="shared" ca="1" si="15"/>
        <v>Fisiologi Tradisi</v>
      </c>
      <c r="E424" s="44">
        <f ca="1">IFERROR(VLOOKUP(A424,Mentah!D:J,7,FALSE),"")</f>
        <v>2</v>
      </c>
      <c r="F424" s="44" t="str">
        <f ca="1">IFERROR(VLOOKUP(A424,Mentah!D:K,8,FALSE),"")</f>
        <v>G352</v>
      </c>
      <c r="G424" s="35" t="str">
        <f t="shared" ca="1" si="9"/>
        <v>('BSH1663','Fisiologi Tradisi','2','G352'),</v>
      </c>
    </row>
    <row r="425" spans="1:9" ht="12.5" x14ac:dyDescent="0.25">
      <c r="A425" s="9" t="str">
        <f ca="1">IFERROR(__xludf.DUMMYFUNCTION("""COMPUTED_VALUE"""),"BSH1664 - Neurosains")</f>
        <v>BSH1664 - Neurosains</v>
      </c>
      <c r="B425" s="44">
        <v>424</v>
      </c>
      <c r="C425" s="35" t="str">
        <f t="shared" ca="1" si="14"/>
        <v>BSH1664</v>
      </c>
      <c r="D425" s="35" t="str">
        <f t="shared" ca="1" si="15"/>
        <v>Neurosains</v>
      </c>
      <c r="E425" s="44">
        <f ca="1">IFERROR(VLOOKUP(A425,Mentah!D:J,7,FALSE),"")</f>
        <v>2</v>
      </c>
      <c r="F425" s="44" t="str">
        <f ca="1">IFERROR(VLOOKUP(A425,Mentah!D:K,8,FALSE),"")</f>
        <v>G352</v>
      </c>
      <c r="G425" s="35" t="str">
        <f t="shared" ca="1" si="9"/>
        <v>('BSH1664','Neurosains','2','G352'),</v>
      </c>
    </row>
    <row r="426" spans="1:9" ht="12.5" x14ac:dyDescent="0.25">
      <c r="A426" s="9" t="str">
        <f ca="1">IFERROR(__xludf.DUMMYFUNCTION("""COMPUTED_VALUE"""),"BSH1551 - Morfometrika")</f>
        <v>BSH1551 - Morfometrika</v>
      </c>
      <c r="B426" s="44">
        <v>425</v>
      </c>
      <c r="C426" s="35" t="str">
        <f t="shared" ca="1" si="14"/>
        <v>BSH1551</v>
      </c>
      <c r="D426" s="35" t="str">
        <f t="shared" ca="1" si="15"/>
        <v>Morfometrika</v>
      </c>
      <c r="E426" s="44">
        <f ca="1">IFERROR(VLOOKUP(A426,Mentah!D:J,7,FALSE),"")</f>
        <v>2</v>
      </c>
      <c r="F426" s="44" t="str">
        <f ca="1">IFERROR(VLOOKUP(A426,Mentah!D:K,8,FALSE),"")</f>
        <v>G352</v>
      </c>
      <c r="G426" s="35" t="str">
        <f t="shared" ca="1" si="9"/>
        <v>('BSH1551','Morfometrika','2','G352'),</v>
      </c>
    </row>
    <row r="427" spans="1:9" ht="12.5" x14ac:dyDescent="0.25">
      <c r="A427" s="9" t="str">
        <f ca="1">IFERROR(__xludf.DUMMYFUNCTION("""COMPUTED_VALUE"""),"BIO1691 - Kolokium")</f>
        <v>BIO1691 - Kolokium</v>
      </c>
      <c r="B427" s="44">
        <v>426</v>
      </c>
      <c r="C427" s="35" t="str">
        <f t="shared" ca="1" si="14"/>
        <v>BIO1691</v>
      </c>
      <c r="D427" s="35" t="str">
        <f t="shared" ca="1" si="15"/>
        <v>Kolokium</v>
      </c>
      <c r="E427" s="44">
        <f ca="1">IFERROR(VLOOKUP(A427,Mentah!D:J,7,FALSE),"")</f>
        <v>2</v>
      </c>
      <c r="F427" s="44" t="str">
        <f ca="1">IFERROR(VLOOKUP(A427,Mentah!D:K,8,FALSE),"")</f>
        <v>G352</v>
      </c>
      <c r="G427" s="35" t="str">
        <f t="shared" ca="1" si="9"/>
        <v>('BIO1691','Kolokium','2','G352'),</v>
      </c>
    </row>
    <row r="428" spans="1:9" ht="16.5" x14ac:dyDescent="0.55000000000000004">
      <c r="A428" s="9" t="str">
        <f ca="1">IFERROR(__xludf.DUMMYFUNCTION("""COMPUTED_VALUE"""),"BSH1662 - Biologi Serangga Sosial")</f>
        <v>BSH1662 - Biologi Serangga Sosial</v>
      </c>
      <c r="B428" s="44">
        <v>427</v>
      </c>
      <c r="C428" s="35" t="str">
        <f t="shared" ca="1" si="14"/>
        <v>BSH1662</v>
      </c>
      <c r="D428" s="35" t="str">
        <f t="shared" ca="1" si="15"/>
        <v>Biologi Serangga Sosial</v>
      </c>
      <c r="E428" s="44">
        <f ca="1">IFERROR(VLOOKUP(A428,Mentah!D:J,7,FALSE),"")</f>
        <v>2</v>
      </c>
      <c r="F428" s="44" t="str">
        <f ca="1">IFERROR(VLOOKUP(A428,Mentah!D:K,8,FALSE),"")</f>
        <v>G352</v>
      </c>
      <c r="G428" s="35" t="str">
        <f t="shared" ca="1" si="9"/>
        <v>('BSH1662','Biologi Serangga Sosial','2','G352'),</v>
      </c>
      <c r="I428" s="7"/>
    </row>
    <row r="429" spans="1:9" ht="12.5" x14ac:dyDescent="0.25">
      <c r="A429" s="9" t="str">
        <f ca="1">IFERROR(__xludf.DUMMYFUNCTION("""COMPUTED_VALUE"""),"BSH165E - Konservasi Hewan Tropis")</f>
        <v>BSH165E - Konservasi Hewan Tropis</v>
      </c>
      <c r="B429" s="44">
        <v>428</v>
      </c>
      <c r="C429" s="35" t="str">
        <f t="shared" ca="1" si="14"/>
        <v>BSH165E</v>
      </c>
      <c r="D429" s="35" t="str">
        <f t="shared" ca="1" si="15"/>
        <v>Konservasi Hewan Tropis</v>
      </c>
      <c r="E429" s="44">
        <f ca="1">IFERROR(VLOOKUP(A429,Mentah!D:J,7,FALSE),"")</f>
        <v>2</v>
      </c>
      <c r="F429" s="44" t="str">
        <f ca="1">IFERROR(VLOOKUP(A429,Mentah!D:K,8,FALSE),"")</f>
        <v>G352</v>
      </c>
      <c r="G429" s="35" t="str">
        <f t="shared" ca="1" si="9"/>
        <v>('BSH165E','Konservasi Hewan Tropis','2','G352'),</v>
      </c>
    </row>
    <row r="430" spans="1:9" ht="12.5" x14ac:dyDescent="0.25">
      <c r="A430" s="9" t="str">
        <f ca="1">IFERROR(__xludf.DUMMYFUNCTION("""COMPUTED_VALUE"""),"BSH1656 - Zoogeografi")</f>
        <v>BSH1656 - Zoogeografi</v>
      </c>
      <c r="B430" s="44">
        <v>429</v>
      </c>
      <c r="C430" s="35" t="str">
        <f t="shared" ca="1" si="14"/>
        <v>BSH1656</v>
      </c>
      <c r="D430" s="35" t="str">
        <f t="shared" ca="1" si="15"/>
        <v>Zoogeografi</v>
      </c>
      <c r="E430" s="44">
        <f ca="1">IFERROR(VLOOKUP(A430,Mentah!D:J,7,FALSE),"")</f>
        <v>2</v>
      </c>
      <c r="F430" s="44" t="str">
        <f ca="1">IFERROR(VLOOKUP(A430,Mentah!D:K,8,FALSE),"")</f>
        <v>G352</v>
      </c>
      <c r="G430" s="35" t="str">
        <f t="shared" ca="1" si="9"/>
        <v>('BSH1656','Zoogeografi','2','G352'),</v>
      </c>
    </row>
    <row r="431" spans="1:9" ht="12.5" x14ac:dyDescent="0.25">
      <c r="A431" s="9" t="str">
        <f ca="1">IFERROR(__xludf.DUMMYFUNCTION("""COMPUTED_VALUE"""),"BSH1562 - Biologi Molekular Hewan")</f>
        <v>BSH1562 - Biologi Molekular Hewan</v>
      </c>
      <c r="B431" s="44">
        <v>430</v>
      </c>
      <c r="C431" s="35" t="str">
        <f t="shared" ca="1" si="14"/>
        <v>BSH1562</v>
      </c>
      <c r="D431" s="35" t="str">
        <f t="shared" ca="1" si="15"/>
        <v>Biologi Molekular Hewan</v>
      </c>
      <c r="E431" s="44">
        <f ca="1">IFERROR(VLOOKUP(A431,Mentah!D:J,7,FALSE),"")</f>
        <v>2</v>
      </c>
      <c r="F431" s="44" t="str">
        <f ca="1">IFERROR(VLOOKUP(A431,Mentah!D:K,8,FALSE),"")</f>
        <v>G352</v>
      </c>
      <c r="G431" s="35" t="str">
        <f t="shared" ca="1" si="9"/>
        <v>('BSH1562','Biologi Molekular Hewan','2','G352'),</v>
      </c>
    </row>
    <row r="432" spans="1:9" ht="12.5" x14ac:dyDescent="0.25">
      <c r="A432" s="9" t="str">
        <f ca="1">IFERROR(__xludf.DUMMYFUNCTION("""COMPUTED_VALUE"""),"BSH1652 - Bioantropologi")</f>
        <v>BSH1652 - Bioantropologi</v>
      </c>
      <c r="B432" s="44">
        <v>431</v>
      </c>
      <c r="C432" s="35" t="str">
        <f t="shared" ca="1" si="14"/>
        <v>BSH1652</v>
      </c>
      <c r="D432" s="35" t="str">
        <f t="shared" ca="1" si="15"/>
        <v>Bioantropologi</v>
      </c>
      <c r="E432" s="44">
        <f ca="1">IFERROR(VLOOKUP(A432,Mentah!D:J,7,FALSE),"")</f>
        <v>2</v>
      </c>
      <c r="F432" s="44" t="str">
        <f ca="1">IFERROR(VLOOKUP(A432,Mentah!D:K,8,FALSE),"")</f>
        <v>G352</v>
      </c>
      <c r="G432" s="35" t="str">
        <f t="shared" ca="1" si="9"/>
        <v>('BSH1652','Bioantropologi','2','G352'),</v>
      </c>
    </row>
    <row r="433" spans="1:7" ht="12.5" x14ac:dyDescent="0.25">
      <c r="A433" s="9" t="str">
        <f ca="1">IFERROR(__xludf.DUMMYFUNCTION("""COMPUTED_VALUE"""),"BOT1535 - Biostematika Tumbuhan")</f>
        <v>BOT1535 - Biostematika Tumbuhan</v>
      </c>
      <c r="B433" s="44">
        <v>432</v>
      </c>
      <c r="C433" s="35" t="str">
        <f t="shared" ca="1" si="14"/>
        <v>BOT1535</v>
      </c>
      <c r="D433" s="35" t="str">
        <f t="shared" ca="1" si="15"/>
        <v>Biostematika Tumbuhan</v>
      </c>
      <c r="E433" s="44">
        <f ca="1">IFERROR(VLOOKUP(A433,Mentah!D:J,7,FALSE),"")</f>
        <v>2</v>
      </c>
      <c r="F433" s="44" t="str">
        <f ca="1">IFERROR(VLOOKUP(A433,Mentah!D:K,8,FALSE),"")</f>
        <v>G353</v>
      </c>
      <c r="G433" s="35" t="str">
        <f t="shared" ca="1" si="9"/>
        <v>('BOT1535','Biostematika Tumbuhan','2','G353'),</v>
      </c>
    </row>
    <row r="434" spans="1:7" ht="12.5" x14ac:dyDescent="0.25">
      <c r="A434" s="9" t="str">
        <f ca="1">IFERROR(__xludf.DUMMYFUNCTION("""COMPUTED_VALUE"""),"BOT1544 - Biologi Kultur In Vitro Tumbuhan")</f>
        <v>BOT1544 - Biologi Kultur In Vitro Tumbuhan</v>
      </c>
      <c r="B434" s="44">
        <v>433</v>
      </c>
      <c r="C434" s="35" t="str">
        <f t="shared" ca="1" si="14"/>
        <v>BOT1544</v>
      </c>
      <c r="D434" s="35" t="str">
        <f t="shared" ca="1" si="15"/>
        <v>Biologi Kultur In Vitro Tumbuhan</v>
      </c>
      <c r="E434" s="44">
        <f ca="1">IFERROR(VLOOKUP(A434,Mentah!D:J,7,FALSE),"")</f>
        <v>2</v>
      </c>
      <c r="F434" s="44" t="str">
        <f ca="1">IFERROR(VLOOKUP(A434,Mentah!D:K,8,FALSE),"")</f>
        <v>G353</v>
      </c>
      <c r="G434" s="35" t="str">
        <f t="shared" ca="1" si="9"/>
        <v>('BOT1544','Biologi Kultur In Vitro Tumbuhan','2','G353'),</v>
      </c>
    </row>
    <row r="435" spans="1:7" ht="12.5" x14ac:dyDescent="0.25">
      <c r="A435" s="9" t="str">
        <f ca="1">IFERROR(__xludf.DUMMYFUNCTION("""COMPUTED_VALUE"""),"BOT1633 - Biologi Konservasi Tumbuhan")</f>
        <v>BOT1633 - Biologi Konservasi Tumbuhan</v>
      </c>
      <c r="B435" s="44">
        <v>434</v>
      </c>
      <c r="C435" s="35" t="str">
        <f t="shared" ca="1" si="14"/>
        <v>BOT1633</v>
      </c>
      <c r="D435" s="35" t="str">
        <f t="shared" ca="1" si="15"/>
        <v>Biologi Konservasi Tumbuhan</v>
      </c>
      <c r="E435" s="44">
        <f ca="1">IFERROR(VLOOKUP(A435,Mentah!D:J,7,FALSE),"")</f>
        <v>2</v>
      </c>
      <c r="F435" s="44" t="str">
        <f ca="1">IFERROR(VLOOKUP(A435,Mentah!D:K,8,FALSE),"")</f>
        <v>G353</v>
      </c>
      <c r="G435" s="35" t="str">
        <f t="shared" ca="1" si="9"/>
        <v>('BOT1633','Biologi Konservasi Tumbuhan','2','G353'),</v>
      </c>
    </row>
    <row r="436" spans="1:7" ht="12.5" x14ac:dyDescent="0.25">
      <c r="A436" s="9" t="str">
        <f ca="1">IFERROR(__xludf.DUMMYFUNCTION("""COMPUTED_VALUE"""),"BOT1636 - Metodologi Penelitian Sistematika Tumbuhan")</f>
        <v>BOT1636 - Metodologi Penelitian Sistematika Tumbuhan</v>
      </c>
      <c r="B436" s="44">
        <v>435</v>
      </c>
      <c r="C436" s="35" t="str">
        <f t="shared" ca="1" si="14"/>
        <v>BOT1636</v>
      </c>
      <c r="D436" s="35" t="str">
        <f t="shared" ca="1" si="15"/>
        <v>Metodologi Penelitian Sistematika Tumbuhan</v>
      </c>
      <c r="E436" s="44">
        <f ca="1">IFERROR(VLOOKUP(A436,Mentah!D:J,7,FALSE),"")</f>
        <v>2</v>
      </c>
      <c r="F436" s="44" t="str">
        <f ca="1">IFERROR(VLOOKUP(A436,Mentah!D:K,8,FALSE),"")</f>
        <v>G353</v>
      </c>
      <c r="G436" s="35" t="str">
        <f t="shared" ca="1" si="9"/>
        <v>('BOT1636','Metodologi Penelitian Sistematika Tumbuhan','2','G353'),</v>
      </c>
    </row>
    <row r="437" spans="1:7" ht="12.5" x14ac:dyDescent="0.25">
      <c r="A437" s="9" t="str">
        <f ca="1">IFERROR(__xludf.DUMMYFUNCTION("""COMPUTED_VALUE"""),"BOT1642 - Ekofisiologi Tumbuhan")</f>
        <v>BOT1642 - Ekofisiologi Tumbuhan</v>
      </c>
      <c r="B437" s="44">
        <v>436</v>
      </c>
      <c r="C437" s="35" t="str">
        <f t="shared" ca="1" si="14"/>
        <v>BOT1642</v>
      </c>
      <c r="D437" s="35" t="str">
        <f t="shared" ca="1" si="15"/>
        <v>Ekofisiologi Tumbuhan</v>
      </c>
      <c r="E437" s="44">
        <f ca="1">IFERROR(VLOOKUP(A437,Mentah!D:J,7,FALSE),"")</f>
        <v>2</v>
      </c>
      <c r="F437" s="44" t="str">
        <f ca="1">IFERROR(VLOOKUP(A437,Mentah!D:K,8,FALSE),"")</f>
        <v>G353</v>
      </c>
      <c r="G437" s="35" t="str">
        <f t="shared" ca="1" si="9"/>
        <v>('BOT1642','Ekofisiologi Tumbuhan','2','G353'),</v>
      </c>
    </row>
    <row r="438" spans="1:7" ht="12.5" x14ac:dyDescent="0.25">
      <c r="A438" s="9" t="str">
        <f ca="1">IFERROR(__xludf.DUMMYFUNCTION("""COMPUTED_VALUE"""),"BOT1637 - Etnobotani")</f>
        <v>BOT1637 - Etnobotani</v>
      </c>
      <c r="B438" s="44">
        <v>437</v>
      </c>
      <c r="C438" s="35" t="str">
        <f t="shared" ca="1" si="14"/>
        <v>BOT1637</v>
      </c>
      <c r="D438" s="35" t="str">
        <f t="shared" ca="1" si="15"/>
        <v>Etnobotani</v>
      </c>
      <c r="E438" s="44">
        <f ca="1">IFERROR(VLOOKUP(A438,Mentah!D:J,7,FALSE),"")</f>
        <v>2</v>
      </c>
      <c r="F438" s="44" t="str">
        <f ca="1">IFERROR(VLOOKUP(A438,Mentah!D:K,8,FALSE),"")</f>
        <v>G353</v>
      </c>
      <c r="G438" s="35" t="str">
        <f t="shared" ca="1" si="9"/>
        <v>('BOT1637','Etnobotani','2','G353'),</v>
      </c>
    </row>
    <row r="439" spans="1:7" ht="12.5" x14ac:dyDescent="0.25">
      <c r="A439" s="9" t="str">
        <f ca="1">IFERROR(__xludf.DUMMYFUNCTION("""COMPUTED_VALUE"""),"BOT1635 - Praktikum Sistematika Tumbuhan")</f>
        <v>BOT1635 - Praktikum Sistematika Tumbuhan</v>
      </c>
      <c r="B439" s="44">
        <v>438</v>
      </c>
      <c r="C439" s="35" t="str">
        <f t="shared" ca="1" si="14"/>
        <v>BOT1635</v>
      </c>
      <c r="D439" s="35" t="str">
        <f t="shared" ca="1" si="15"/>
        <v>Praktikum Sistematika Tumbuhan</v>
      </c>
      <c r="E439" s="44">
        <f ca="1">IFERROR(VLOOKUP(A439,Mentah!D:J,7,FALSE),"")</f>
        <v>2</v>
      </c>
      <c r="F439" s="44" t="str">
        <f ca="1">IFERROR(VLOOKUP(A439,Mentah!D:K,8,FALSE),"")</f>
        <v>G353</v>
      </c>
      <c r="G439" s="35" t="str">
        <f t="shared" ca="1" si="9"/>
        <v>('BOT1635','Praktikum Sistematika Tumbuhan','2','G353'),</v>
      </c>
    </row>
    <row r="440" spans="1:7" ht="12.5" x14ac:dyDescent="0.25">
      <c r="A440" s="9" t="str">
        <f ca="1">IFERROR(__xludf.DUMMYFUNCTION("""COMPUTED_VALUE"""),"BOT1543 - Fisiologi Perkembangan Tumbuhan")</f>
        <v>BOT1543 - Fisiologi Perkembangan Tumbuhan</v>
      </c>
      <c r="B440" s="44">
        <v>439</v>
      </c>
      <c r="C440" s="35" t="str">
        <f t="shared" ca="1" si="14"/>
        <v>BOT1543</v>
      </c>
      <c r="D440" s="35" t="str">
        <f t="shared" ca="1" si="15"/>
        <v>Fisiologi Perkembangan Tumbuhan</v>
      </c>
      <c r="E440" s="44">
        <f ca="1">IFERROR(VLOOKUP(A440,Mentah!D:J,7,FALSE),"")</f>
        <v>2</v>
      </c>
      <c r="F440" s="44" t="str">
        <f ca="1">IFERROR(VLOOKUP(A440,Mentah!D:K,8,FALSE),"")</f>
        <v>G353</v>
      </c>
      <c r="G440" s="35" t="str">
        <f t="shared" ca="1" si="9"/>
        <v>('BOT1543','Fisiologi Perkembangan Tumbuhan','2','G353'),</v>
      </c>
    </row>
    <row r="441" spans="1:7" ht="12.5" x14ac:dyDescent="0.25">
      <c r="A441" s="9" t="str">
        <f ca="1">IFERROR(__xludf.DUMMYFUNCTION("""COMPUTED_VALUE"""),"BOT1534 - Azas-azas Taksonomi Tumbuhan")</f>
        <v>BOT1534 - Azas-azas Taksonomi Tumbuhan</v>
      </c>
      <c r="B441" s="44">
        <v>440</v>
      </c>
      <c r="C441" s="35" t="str">
        <f t="shared" ca="1" si="14"/>
        <v>BOT1534</v>
      </c>
      <c r="D441" s="35" t="str">
        <f t="shared" ca="1" si="15"/>
        <v>Azas-azas Taksonomi Tumbuhan</v>
      </c>
      <c r="E441" s="44">
        <f ca="1">IFERROR(VLOOKUP(A441,Mentah!D:J,7,FALSE),"")</f>
        <v>2</v>
      </c>
      <c r="F441" s="44" t="str">
        <f ca="1">IFERROR(VLOOKUP(A441,Mentah!D:K,8,FALSE),"")</f>
        <v>G353</v>
      </c>
      <c r="G441" s="35" t="str">
        <f t="shared" ca="1" si="9"/>
        <v>('BOT1534','Azas-azas Taksonomi Tumbuhan','2','G353'),</v>
      </c>
    </row>
    <row r="442" spans="1:7" ht="12.5" x14ac:dyDescent="0.25">
      <c r="A442" s="9" t="str">
        <f ca="1">IFERROR(__xludf.DUMMYFUNCTION("""COMPUTED_VALUE"""),"BOT1533 - Metodologi Ekologi Tumbuhan")</f>
        <v>BOT1533 - Metodologi Ekologi Tumbuhan</v>
      </c>
      <c r="B442" s="44">
        <v>441</v>
      </c>
      <c r="C442" s="35" t="str">
        <f t="shared" ca="1" si="14"/>
        <v>BOT1533</v>
      </c>
      <c r="D442" s="35" t="str">
        <f t="shared" ca="1" si="15"/>
        <v>Metodologi Ekologi Tumbuhan</v>
      </c>
      <c r="E442" s="44">
        <f ca="1">IFERROR(VLOOKUP(A442,Mentah!D:J,7,FALSE),"")</f>
        <v>2</v>
      </c>
      <c r="F442" s="44" t="str">
        <f ca="1">IFERROR(VLOOKUP(A442,Mentah!D:K,8,FALSE),"")</f>
        <v>G353</v>
      </c>
      <c r="G442" s="35" t="str">
        <f t="shared" ca="1" si="9"/>
        <v>('BOT1533','Metodologi Ekologi Tumbuhan','2','G353'),</v>
      </c>
    </row>
    <row r="443" spans="1:7" ht="12.5" x14ac:dyDescent="0.25">
      <c r="A443" s="9" t="str">
        <f ca="1">IFERROR(__xludf.DUMMYFUNCTION("""COMPUTED_VALUE"""),"BOT1646 - Fisiologi Molekular Tumbuhan")</f>
        <v>BOT1646 - Fisiologi Molekular Tumbuhan</v>
      </c>
      <c r="B443" s="44">
        <v>442</v>
      </c>
      <c r="C443" s="35" t="str">
        <f t="shared" ca="1" si="14"/>
        <v>BOT1646</v>
      </c>
      <c r="D443" s="35" t="str">
        <f t="shared" ca="1" si="15"/>
        <v>Fisiologi Molekular Tumbuhan</v>
      </c>
      <c r="E443" s="44">
        <f ca="1">IFERROR(VLOOKUP(A443,Mentah!D:J,7,FALSE),"")</f>
        <v>2</v>
      </c>
      <c r="F443" s="44" t="str">
        <f ca="1">IFERROR(VLOOKUP(A443,Mentah!D:K,8,FALSE),"")</f>
        <v>G353</v>
      </c>
      <c r="G443" s="35" t="str">
        <f t="shared" ca="1" si="9"/>
        <v>('BOT1646','Fisiologi Molekular Tumbuhan','2','G353'),</v>
      </c>
    </row>
    <row r="444" spans="1:7" ht="12.5" x14ac:dyDescent="0.25">
      <c r="A444" s="9" t="str">
        <f ca="1">IFERROR(__xludf.DUMMYFUNCTION("""COMPUTED_VALUE"""),"BOT1631 - Mikroteknik Tumbuhan")</f>
        <v>BOT1631 - Mikroteknik Tumbuhan</v>
      </c>
      <c r="B444" s="44">
        <v>443</v>
      </c>
      <c r="C444" s="35" t="str">
        <f t="shared" ca="1" si="14"/>
        <v>BOT1631</v>
      </c>
      <c r="D444" s="35" t="str">
        <f t="shared" ca="1" si="15"/>
        <v>Mikroteknik Tumbuhan</v>
      </c>
      <c r="E444" s="44">
        <f ca="1">IFERROR(VLOOKUP(A444,Mentah!D:J,7,FALSE),"")</f>
        <v>2</v>
      </c>
      <c r="F444" s="44" t="str">
        <f ca="1">IFERROR(VLOOKUP(A444,Mentah!D:K,8,FALSE),"")</f>
        <v>G353</v>
      </c>
      <c r="G444" s="35" t="str">
        <f t="shared" ca="1" si="9"/>
        <v>('BOT1631','Mikroteknik Tumbuhan','2','G353'),</v>
      </c>
    </row>
    <row r="445" spans="1:7" ht="12.5" x14ac:dyDescent="0.25">
      <c r="A445" s="9" t="str">
        <f ca="1">IFERROR(__xludf.DUMMYFUNCTION("""COMPUTED_VALUE"""),"BOT1545 - Biologi Molekular")</f>
        <v>BOT1545 - Biologi Molekular</v>
      </c>
      <c r="B445" s="44">
        <v>444</v>
      </c>
      <c r="C445" s="35" t="str">
        <f t="shared" ca="1" si="14"/>
        <v>BOT1545</v>
      </c>
      <c r="D445" s="35" t="str">
        <f t="shared" ca="1" si="15"/>
        <v>Biologi Molekular</v>
      </c>
      <c r="E445" s="44">
        <f ca="1">IFERROR(VLOOKUP(A445,Mentah!D:J,7,FALSE),"")</f>
        <v>2</v>
      </c>
      <c r="F445" s="44" t="str">
        <f ca="1">IFERROR(VLOOKUP(A445,Mentah!D:K,8,FALSE),"")</f>
        <v>G353</v>
      </c>
      <c r="G445" s="35" t="str">
        <f t="shared" ca="1" si="9"/>
        <v>('BOT1545','Biologi Molekular','2','G353'),</v>
      </c>
    </row>
    <row r="446" spans="1:7" ht="12.5" x14ac:dyDescent="0.25">
      <c r="A446" s="9" t="str">
        <f ca="1">IFERROR(__xludf.DUMMYFUNCTION("""COMPUTED_VALUE"""),"BOT1645 - Analisis Genetika")</f>
        <v>BOT1645 - Analisis Genetika</v>
      </c>
      <c r="B446" s="44">
        <v>445</v>
      </c>
      <c r="C446" s="35" t="str">
        <f t="shared" ca="1" si="14"/>
        <v>BOT1645</v>
      </c>
      <c r="D446" s="35" t="str">
        <f t="shared" ca="1" si="15"/>
        <v>Analisis Genetika</v>
      </c>
      <c r="E446" s="44">
        <f ca="1">IFERROR(VLOOKUP(A446,Mentah!D:J,7,FALSE),"")</f>
        <v>2</v>
      </c>
      <c r="F446" s="44" t="str">
        <f ca="1">IFERROR(VLOOKUP(A446,Mentah!D:K,8,FALSE),"")</f>
        <v>G353</v>
      </c>
      <c r="G446" s="35" t="str">
        <f t="shared" ca="1" si="9"/>
        <v>('BOT1645','Analisis Genetika','2','G353'),</v>
      </c>
    </row>
    <row r="447" spans="1:7" ht="12.5" x14ac:dyDescent="0.25">
      <c r="A447" s="9" t="str">
        <f ca="1">IFERROR(__xludf.DUMMYFUNCTION("""COMPUTED_VALUE"""),"BOT1644 - Rekayasa Genetika Tumbuhan")</f>
        <v>BOT1644 - Rekayasa Genetika Tumbuhan</v>
      </c>
      <c r="B447" s="44">
        <v>446</v>
      </c>
      <c r="C447" s="35" t="str">
        <f t="shared" ca="1" si="14"/>
        <v>BOT1644</v>
      </c>
      <c r="D447" s="35" t="str">
        <f t="shared" ca="1" si="15"/>
        <v>Rekayasa Genetika Tumbuhan</v>
      </c>
      <c r="E447" s="44">
        <f ca="1">IFERROR(VLOOKUP(A447,Mentah!D:J,7,FALSE),"")</f>
        <v>2</v>
      </c>
      <c r="F447" s="44" t="str">
        <f ca="1">IFERROR(VLOOKUP(A447,Mentah!D:K,8,FALSE),"")</f>
        <v>G353</v>
      </c>
      <c r="G447" s="35" t="str">
        <f t="shared" ca="1" si="9"/>
        <v>('BOT1644','Rekayasa Genetika Tumbuhan','2','G353'),</v>
      </c>
    </row>
    <row r="448" spans="1:7" ht="12.5" x14ac:dyDescent="0.25">
      <c r="A448" s="9" t="str">
        <f ca="1">IFERROR(__xludf.DUMMYFUNCTION("""COMPUTED_VALUE"""),"BOT1634 - Praktikum Ekologi Tumbuhan Tropis")</f>
        <v>BOT1634 - Praktikum Ekologi Tumbuhan Tropis</v>
      </c>
      <c r="B448" s="44">
        <v>447</v>
      </c>
      <c r="C448" s="35" t="str">
        <f t="shared" ca="1" si="14"/>
        <v>BOT1634</v>
      </c>
      <c r="D448" s="35" t="str">
        <f t="shared" ca="1" si="15"/>
        <v>Praktikum Ekologi Tumbuhan Tropis</v>
      </c>
      <c r="E448" s="44">
        <f ca="1">IFERROR(VLOOKUP(A448,Mentah!D:J,7,FALSE),"")</f>
        <v>2</v>
      </c>
      <c r="F448" s="44" t="str">
        <f ca="1">IFERROR(VLOOKUP(A448,Mentah!D:K,8,FALSE),"")</f>
        <v>G353</v>
      </c>
      <c r="G448" s="35" t="str">
        <f t="shared" ca="1" si="9"/>
        <v>('BOT1634','Praktikum Ekologi Tumbuhan Tropis','2','G353'),</v>
      </c>
    </row>
    <row r="449" spans="1:7" ht="12.5" x14ac:dyDescent="0.25">
      <c r="A449" s="9" t="str">
        <f ca="1">IFERROR(__xludf.DUMMYFUNCTION("""COMPUTED_VALUE"""),"BOT1643 - Praktikum Genetika dan Biologi Molekular Tumbuhan")</f>
        <v>BOT1643 - Praktikum Genetika dan Biologi Molekular Tumbuhan</v>
      </c>
      <c r="B449" s="44">
        <v>448</v>
      </c>
      <c r="C449" s="35" t="str">
        <f t="shared" ca="1" si="14"/>
        <v>BOT1643</v>
      </c>
      <c r="D449" s="35" t="str">
        <f t="shared" ca="1" si="15"/>
        <v>Praktikum Genetika dan Biologi Molekular Tumbuhan</v>
      </c>
      <c r="E449" s="44">
        <f ca="1">IFERROR(VLOOKUP(A449,Mentah!D:J,7,FALSE),"")</f>
        <v>2</v>
      </c>
      <c r="F449" s="44" t="str">
        <f ca="1">IFERROR(VLOOKUP(A449,Mentah!D:K,8,FALSE),"")</f>
        <v>G353</v>
      </c>
      <c r="G449" s="35" t="str">
        <f t="shared" ca="1" si="9"/>
        <v>('BOT1643','Praktikum Genetika dan Biologi Molekular Tumbuhan','2','G353'),</v>
      </c>
    </row>
    <row r="450" spans="1:7" ht="12.5" x14ac:dyDescent="0.25">
      <c r="A450" s="9" t="str">
        <f ca="1">IFERROR(__xludf.DUMMYFUNCTION("""COMPUTED_VALUE"""),"BOT1641 - Praktikum Sel dan Fisiologi Tumbuhan")</f>
        <v>BOT1641 - Praktikum Sel dan Fisiologi Tumbuhan</v>
      </c>
      <c r="B450" s="44">
        <v>449</v>
      </c>
      <c r="C450" s="35" t="str">
        <f t="shared" ref="C450:C513" ca="1" si="16">IFERROR(LEFT(A450,7),"")</f>
        <v>BOT1641</v>
      </c>
      <c r="D450" s="35" t="str">
        <f t="shared" ref="D450:D513" ca="1" si="17">IFERROR(MID(A450,11,99),"")</f>
        <v>Praktikum Sel dan Fisiologi Tumbuhan</v>
      </c>
      <c r="E450" s="44">
        <f ca="1">IFERROR(VLOOKUP(A450,Mentah!D:J,7,FALSE),"")</f>
        <v>2</v>
      </c>
      <c r="F450" s="44" t="str">
        <f ca="1">IFERROR(VLOOKUP(A450,Mentah!D:K,8,FALSE),"")</f>
        <v>G353</v>
      </c>
      <c r="G450" s="35" t="str">
        <f t="shared" ca="1" si="9"/>
        <v>('BOT1641','Praktikum Sel dan Fisiologi Tumbuhan','2','G353'),</v>
      </c>
    </row>
    <row r="451" spans="1:7" ht="12.5" x14ac:dyDescent="0.25">
      <c r="A451" s="9" t="str">
        <f ca="1">IFERROR(__xludf.DUMMYFUNCTION("""COMPUTED_VALUE"""),"KIM1638 - Kimia Bioanalitik")</f>
        <v>KIM1638 - Kimia Bioanalitik</v>
      </c>
      <c r="B451" s="44">
        <v>450</v>
      </c>
      <c r="C451" s="35" t="str">
        <f t="shared" ca="1" si="16"/>
        <v>KIM1638</v>
      </c>
      <c r="D451" s="35" t="str">
        <f t="shared" ca="1" si="17"/>
        <v>Kimia Bioanalitik</v>
      </c>
      <c r="E451" s="44">
        <f ca="1">IFERROR(VLOOKUP(A451,Mentah!D:J,7,FALSE),"")</f>
        <v>2</v>
      </c>
      <c r="F451" s="44" t="str">
        <f ca="1">IFERROR(VLOOKUP(A451,Mentah!D:K,8,FALSE),"")</f>
        <v>G451</v>
      </c>
      <c r="G451" s="35" t="str">
        <f t="shared" ca="1" si="9"/>
        <v>('KIM1638','Kimia Bioanalitik','2','G451'),</v>
      </c>
    </row>
    <row r="452" spans="1:7" ht="12.5" x14ac:dyDescent="0.25">
      <c r="A452" s="9" t="str">
        <f ca="1">IFERROR(__xludf.DUMMYFUNCTION("""COMPUTED_VALUE"""),"KIM1616 - Nanomaterial Anorganik")</f>
        <v>KIM1616 - Nanomaterial Anorganik</v>
      </c>
      <c r="B452" s="44">
        <v>451</v>
      </c>
      <c r="C452" s="35" t="str">
        <f t="shared" ca="1" si="16"/>
        <v>KIM1616</v>
      </c>
      <c r="D452" s="35" t="str">
        <f t="shared" ca="1" si="17"/>
        <v>Nanomaterial Anorganik</v>
      </c>
      <c r="E452" s="44">
        <f ca="1">IFERROR(VLOOKUP(A452,Mentah!D:J,7,FALSE),"")</f>
        <v>2</v>
      </c>
      <c r="F452" s="44" t="str">
        <f ca="1">IFERROR(VLOOKUP(A452,Mentah!D:K,8,FALSE),"")</f>
        <v>G451</v>
      </c>
      <c r="G452" s="35" t="str">
        <f t="shared" ca="1" si="9"/>
        <v>('KIM1616','Nanomaterial Anorganik','2','G451'),</v>
      </c>
    </row>
    <row r="453" spans="1:7" ht="12.5" x14ac:dyDescent="0.25">
      <c r="A453" s="9" t="str">
        <f ca="1">IFERROR(__xludf.DUMMYFUNCTION("""COMPUTED_VALUE"""),"KIM1654 - Sensor dan Biosensor")</f>
        <v>KIM1654 - Sensor dan Biosensor</v>
      </c>
      <c r="B453" s="44">
        <v>452</v>
      </c>
      <c r="C453" s="35" t="str">
        <f t="shared" ca="1" si="16"/>
        <v>KIM1654</v>
      </c>
      <c r="D453" s="35" t="str">
        <f t="shared" ca="1" si="17"/>
        <v>Sensor dan Biosensor</v>
      </c>
      <c r="E453" s="44">
        <f ca="1">IFERROR(VLOOKUP(A453,Mentah!D:J,7,FALSE),"")</f>
        <v>2</v>
      </c>
      <c r="F453" s="44" t="str">
        <f ca="1">IFERROR(VLOOKUP(A453,Mentah!D:K,8,FALSE),"")</f>
        <v>G451</v>
      </c>
      <c r="G453" s="35" t="str">
        <f t="shared" ca="1" si="9"/>
        <v>('KIM1654','Sensor dan Biosensor','2','G451'),</v>
      </c>
    </row>
    <row r="454" spans="1:7" ht="12.5" x14ac:dyDescent="0.25">
      <c r="A454" s="9" t="str">
        <f ca="1">IFERROR(__xludf.DUMMYFUNCTION("""COMPUTED_VALUE"""),"KIM1617 - Kimia Biomaterial")</f>
        <v>KIM1617 - Kimia Biomaterial</v>
      </c>
      <c r="B454" s="44">
        <v>453</v>
      </c>
      <c r="C454" s="35" t="str">
        <f t="shared" ca="1" si="16"/>
        <v>KIM1617</v>
      </c>
      <c r="D454" s="35" t="str">
        <f t="shared" ca="1" si="17"/>
        <v>Kimia Biomaterial</v>
      </c>
      <c r="E454" s="44">
        <f ca="1">IFERROR(VLOOKUP(A454,Mentah!D:J,7,FALSE),"")</f>
        <v>2</v>
      </c>
      <c r="F454" s="44" t="str">
        <f ca="1">IFERROR(VLOOKUP(A454,Mentah!D:K,8,FALSE),"")</f>
        <v>G451</v>
      </c>
      <c r="G454" s="35" t="str">
        <f t="shared" ca="1" si="9"/>
        <v>('KIM1617','Kimia Biomaterial','2','G451'),</v>
      </c>
    </row>
    <row r="455" spans="1:7" ht="12.5" x14ac:dyDescent="0.25">
      <c r="A455" s="9" t="str">
        <f ca="1">IFERROR(__xludf.DUMMYFUNCTION("""COMPUTED_VALUE"""),"KIM1502 - Metodologi Penelitian Kimia")</f>
        <v>KIM1502 - Metodologi Penelitian Kimia</v>
      </c>
      <c r="B455" s="44">
        <v>454</v>
      </c>
      <c r="C455" s="35" t="str">
        <f t="shared" ca="1" si="16"/>
        <v>KIM1502</v>
      </c>
      <c r="D455" s="35" t="str">
        <f t="shared" ca="1" si="17"/>
        <v>Metodologi Penelitian Kimia</v>
      </c>
      <c r="E455" s="44">
        <f ca="1">IFERROR(VLOOKUP(A455,Mentah!D:J,7,FALSE),"")</f>
        <v>2</v>
      </c>
      <c r="F455" s="44" t="str">
        <f ca="1">IFERROR(VLOOKUP(A455,Mentah!D:K,8,FALSE),"")</f>
        <v>G451</v>
      </c>
      <c r="G455" s="35" t="str">
        <f t="shared" ca="1" si="9"/>
        <v>('KIM1502','Metodologi Penelitian Kimia','2','G451'),</v>
      </c>
    </row>
    <row r="456" spans="1:7" ht="12.5" x14ac:dyDescent="0.25">
      <c r="A456" s="9" t="str">
        <f ca="1">IFERROR(__xludf.DUMMYFUNCTION("""COMPUTED_VALUE"""),"KIM1637 - Metabolomik: Teknik Analitik dan Aplikasi")</f>
        <v>KIM1637 - Metabolomik: Teknik Analitik dan Aplikasi</v>
      </c>
      <c r="B456" s="44">
        <v>455</v>
      </c>
      <c r="C456" s="35" t="str">
        <f t="shared" ca="1" si="16"/>
        <v>KIM1637</v>
      </c>
      <c r="D456" s="35" t="str">
        <f t="shared" ca="1" si="17"/>
        <v>Metabolomik: Teknik Analitik dan Aplikasi</v>
      </c>
      <c r="E456" s="44">
        <f ca="1">IFERROR(VLOOKUP(A456,Mentah!D:J,7,FALSE),"")</f>
        <v>2</v>
      </c>
      <c r="F456" s="44" t="str">
        <f ca="1">IFERROR(VLOOKUP(A456,Mentah!D:K,8,FALSE),"")</f>
        <v>G451</v>
      </c>
      <c r="G456" s="35" t="str">
        <f t="shared" ca="1" si="9"/>
        <v>('KIM1637','Metabolomik: Teknik Analitik dan Aplikasi','2','G451'),</v>
      </c>
    </row>
    <row r="457" spans="1:7" ht="12.5" x14ac:dyDescent="0.25">
      <c r="A457" s="9" t="str">
        <f ca="1">IFERROR(__xludf.DUMMYFUNCTION("""COMPUTED_VALUE"""),"KIM1641 - Senyawa Aktif Permukaan")</f>
        <v>KIM1641 - Senyawa Aktif Permukaan</v>
      </c>
      <c r="B457" s="44">
        <v>456</v>
      </c>
      <c r="C457" s="35" t="str">
        <f t="shared" ca="1" si="16"/>
        <v>KIM1641</v>
      </c>
      <c r="D457" s="35" t="str">
        <f t="shared" ca="1" si="17"/>
        <v>Senyawa Aktif Permukaan</v>
      </c>
      <c r="E457" s="44">
        <f ca="1">IFERROR(VLOOKUP(A457,Mentah!D:J,7,FALSE),"")</f>
        <v>2</v>
      </c>
      <c r="F457" s="44" t="str">
        <f ca="1">IFERROR(VLOOKUP(A457,Mentah!D:K,8,FALSE),"")</f>
        <v>G451</v>
      </c>
      <c r="G457" s="35" t="str">
        <f t="shared" ca="1" si="9"/>
        <v>('KIM1641','Senyawa Aktif Permukaan','2','G451'),</v>
      </c>
    </row>
    <row r="458" spans="1:7" ht="12.5" x14ac:dyDescent="0.25">
      <c r="A458" s="9" t="str">
        <f ca="1">IFERROR(__xludf.DUMMYFUNCTION("""COMPUTED_VALUE"""),"MAT1232 - Pemrograman Linear")</f>
        <v>MAT1232 - Pemrograman Linear</v>
      </c>
      <c r="B458" s="44">
        <v>457</v>
      </c>
      <c r="C458" s="35" t="str">
        <f t="shared" ca="1" si="16"/>
        <v>MAT1232</v>
      </c>
      <c r="D458" s="35" t="str">
        <f t="shared" ca="1" si="17"/>
        <v>Pemrograman Linear</v>
      </c>
      <c r="E458" s="44">
        <f ca="1">IFERROR(VLOOKUP(A458,Mentah!D:J,7,FALSE),"")</f>
        <v>2</v>
      </c>
      <c r="F458" s="44" t="str">
        <f ca="1">IFERROR(VLOOKUP(A458,Mentah!D:K,8,FALSE),"")</f>
        <v>G551</v>
      </c>
      <c r="G458" s="35" t="str">
        <f t="shared" ca="1" si="9"/>
        <v>('MAT1232','Pemrograman Linear','2','G551'),</v>
      </c>
    </row>
    <row r="459" spans="1:7" ht="12.5" x14ac:dyDescent="0.25">
      <c r="A459" s="9" t="str">
        <f ca="1">IFERROR(__xludf.DUMMYFUNCTION("""COMPUTED_VALUE"""),"MAT1554 - Proses Stokastik")</f>
        <v>MAT1554 - Proses Stokastik</v>
      </c>
      <c r="B459" s="44">
        <v>458</v>
      </c>
      <c r="C459" s="35" t="str">
        <f t="shared" ca="1" si="16"/>
        <v>MAT1554</v>
      </c>
      <c r="D459" s="35" t="str">
        <f t="shared" ca="1" si="17"/>
        <v>Proses Stokastik</v>
      </c>
      <c r="E459" s="44">
        <f ca="1">IFERROR(VLOOKUP(A459,Mentah!D:J,7,FALSE),"")</f>
        <v>2</v>
      </c>
      <c r="F459" s="44" t="str">
        <f ca="1">IFERROR(VLOOKUP(A459,Mentah!D:K,8,FALSE),"")</f>
        <v>G551</v>
      </c>
      <c r="G459" s="35" t="str">
        <f t="shared" ca="1" si="9"/>
        <v>('MAT1554','Proses Stokastik','2','G551'),</v>
      </c>
    </row>
    <row r="460" spans="1:7" ht="12.5" x14ac:dyDescent="0.25">
      <c r="A460" s="9" t="str">
        <f ca="1">IFERROR(__xludf.DUMMYFUNCTION("""COMPUTED_VALUE"""),"MAT1542 - Matematika Keuangan dan Pasar Modal")</f>
        <v>MAT1542 - Matematika Keuangan dan Pasar Modal</v>
      </c>
      <c r="B460" s="44">
        <v>459</v>
      </c>
      <c r="C460" s="35" t="str">
        <f t="shared" ca="1" si="16"/>
        <v>MAT1542</v>
      </c>
      <c r="D460" s="35" t="str">
        <f t="shared" ca="1" si="17"/>
        <v>Matematika Keuangan dan Pasar Modal</v>
      </c>
      <c r="E460" s="44">
        <f ca="1">IFERROR(VLOOKUP(A460,Mentah!D:J,7,FALSE),"")</f>
        <v>2</v>
      </c>
      <c r="F460" s="44" t="str">
        <f ca="1">IFERROR(VLOOKUP(A460,Mentah!D:K,8,FALSE),"")</f>
        <v>G551</v>
      </c>
      <c r="G460" s="35" t="str">
        <f t="shared" ca="1" si="9"/>
        <v>('MAT1542','Matematika Keuangan dan Pasar Modal','2','G551'),</v>
      </c>
    </row>
    <row r="461" spans="1:7" ht="12.5" x14ac:dyDescent="0.25">
      <c r="A461" s="9" t="str">
        <f ca="1">IFERROR(__xludf.DUMMYFUNCTION("""COMPUTED_VALUE"""),"MAT1524 - Komputasi Lanjut")</f>
        <v>MAT1524 - Komputasi Lanjut</v>
      </c>
      <c r="B461" s="44">
        <v>460</v>
      </c>
      <c r="C461" s="35" t="str">
        <f t="shared" ca="1" si="16"/>
        <v>MAT1524</v>
      </c>
      <c r="D461" s="35" t="str">
        <f t="shared" ca="1" si="17"/>
        <v>Komputasi Lanjut</v>
      </c>
      <c r="E461" s="44">
        <f ca="1">IFERROR(VLOOKUP(A461,Mentah!D:J,7,FALSE),"")</f>
        <v>2</v>
      </c>
      <c r="F461" s="44" t="str">
        <f ca="1">IFERROR(VLOOKUP(A461,Mentah!D:K,8,FALSE),"")</f>
        <v>G551</v>
      </c>
      <c r="G461" s="35" t="str">
        <f t="shared" ca="1" si="9"/>
        <v>('MAT1524','Komputasi Lanjut','2','G551'),</v>
      </c>
    </row>
    <row r="462" spans="1:7" ht="12.5" x14ac:dyDescent="0.25">
      <c r="A462" s="9" t="str">
        <f ca="1">IFERROR(__xludf.DUMMYFUNCTION("""COMPUTED_VALUE"""),"MAT1556 - Persamaan Diferensial")</f>
        <v>MAT1556 - Persamaan Diferensial</v>
      </c>
      <c r="B462" s="44">
        <v>461</v>
      </c>
      <c r="C462" s="35" t="str">
        <f t="shared" ca="1" si="16"/>
        <v>MAT1556</v>
      </c>
      <c r="D462" s="35" t="str">
        <f t="shared" ca="1" si="17"/>
        <v>Persamaan Diferensial</v>
      </c>
      <c r="E462" s="44">
        <f ca="1">IFERROR(VLOOKUP(A462,Mentah!D:J,7,FALSE),"")</f>
        <v>2</v>
      </c>
      <c r="F462" s="44" t="str">
        <f ca="1">IFERROR(VLOOKUP(A462,Mentah!D:K,8,FALSE),"")</f>
        <v>G551</v>
      </c>
      <c r="G462" s="35" t="str">
        <f t="shared" ca="1" si="9"/>
        <v>('MAT1556','Persamaan Diferensial','2','G551'),</v>
      </c>
    </row>
    <row r="463" spans="1:7" ht="12.5" x14ac:dyDescent="0.25">
      <c r="A463" s="9" t="str">
        <f ca="1">IFERROR(__xludf.DUMMYFUNCTION("""COMPUTED_VALUE"""),"KOM1624 - Topik dalam Bioinformatika")</f>
        <v>KOM1624 - Topik dalam Bioinformatika</v>
      </c>
      <c r="B463" s="44">
        <v>462</v>
      </c>
      <c r="C463" s="35" t="str">
        <f t="shared" ca="1" si="16"/>
        <v>KOM1624</v>
      </c>
      <c r="D463" s="35" t="str">
        <f t="shared" ca="1" si="17"/>
        <v>Topik dalam Bioinformatika</v>
      </c>
      <c r="E463" s="44">
        <f ca="1">IFERROR(VLOOKUP(A463,Mentah!D:J,7,FALSE),"")</f>
        <v>2</v>
      </c>
      <c r="F463" s="44" t="str">
        <f ca="1">IFERROR(VLOOKUP(A463,Mentah!D:K,8,FALSE),"")</f>
        <v>G651</v>
      </c>
      <c r="G463" s="35" t="str">
        <f t="shared" ca="1" si="9"/>
        <v>('KOM1624','Topik dalam Bioinformatika','2','G651'),</v>
      </c>
    </row>
    <row r="464" spans="1:7" ht="12.5" x14ac:dyDescent="0.25">
      <c r="A464" s="9" t="str">
        <f ca="1">IFERROR(__xludf.DUMMYFUNCTION("""COMPUTED_VALUE"""),"KOM1623 - Topik dalam Data Mining Terapan")</f>
        <v>KOM1623 - Topik dalam Data Mining Terapan</v>
      </c>
      <c r="B464" s="44">
        <v>463</v>
      </c>
      <c r="C464" s="35" t="str">
        <f t="shared" ca="1" si="16"/>
        <v>KOM1623</v>
      </c>
      <c r="D464" s="35" t="str">
        <f t="shared" ca="1" si="17"/>
        <v>Topik dalam Data Mining Terapan</v>
      </c>
      <c r="E464" s="44">
        <f ca="1">IFERROR(VLOOKUP(A464,Mentah!D:J,7,FALSE),"")</f>
        <v>2</v>
      </c>
      <c r="F464" s="44" t="str">
        <f ca="1">IFERROR(VLOOKUP(A464,Mentah!D:K,8,FALSE),"")</f>
        <v>G651</v>
      </c>
      <c r="G464" s="35" t="str">
        <f t="shared" ca="1" si="9"/>
        <v>('KOM1623','Topik dalam Data Mining Terapan','2','G651'),</v>
      </c>
    </row>
    <row r="465" spans="1:7" ht="12.5" x14ac:dyDescent="0.25">
      <c r="A465" s="9" t="str">
        <f ca="1">IFERROR(__xludf.DUMMYFUNCTION("""COMPUTED_VALUE"""),"KOM1611 - Topik dalam Keamanan Informasi")</f>
        <v>KOM1611 - Topik dalam Keamanan Informasi</v>
      </c>
      <c r="B465" s="44">
        <v>464</v>
      </c>
      <c r="C465" s="35" t="str">
        <f t="shared" ca="1" si="16"/>
        <v>KOM1611</v>
      </c>
      <c r="D465" s="35" t="str">
        <f t="shared" ca="1" si="17"/>
        <v>Topik dalam Keamanan Informasi</v>
      </c>
      <c r="E465" s="44">
        <f ca="1">IFERROR(VLOOKUP(A465,Mentah!D:J,7,FALSE),"")</f>
        <v>2</v>
      </c>
      <c r="F465" s="44" t="str">
        <f ca="1">IFERROR(VLOOKUP(A465,Mentah!D:K,8,FALSE),"")</f>
        <v>G651</v>
      </c>
      <c r="G465" s="35" t="str">
        <f t="shared" ca="1" si="9"/>
        <v>('KOM1611','Topik dalam Keamanan Informasi','2','G651'),</v>
      </c>
    </row>
    <row r="466" spans="1:7" ht="12.5" x14ac:dyDescent="0.25">
      <c r="A466" s="9" t="str">
        <f ca="1">IFERROR(__xludf.DUMMYFUNCTION("""COMPUTED_VALUE"""),"KOM1631 - Topik dalam Manajemen Pengetahuan")</f>
        <v>KOM1631 - Topik dalam Manajemen Pengetahuan</v>
      </c>
      <c r="B466" s="44">
        <v>465</v>
      </c>
      <c r="C466" s="35" t="str">
        <f t="shared" ca="1" si="16"/>
        <v>KOM1631</v>
      </c>
      <c r="D466" s="35" t="str">
        <f t="shared" ca="1" si="17"/>
        <v>Topik dalam Manajemen Pengetahuan</v>
      </c>
      <c r="E466" s="44">
        <f ca="1">IFERROR(VLOOKUP(A466,Mentah!D:J,7,FALSE),"")</f>
        <v>2</v>
      </c>
      <c r="F466" s="44" t="str">
        <f ca="1">IFERROR(VLOOKUP(A466,Mentah!D:K,8,FALSE),"")</f>
        <v>G651</v>
      </c>
      <c r="G466" s="35" t="str">
        <f t="shared" ca="1" si="9"/>
        <v>('KOM1631','Topik dalam Manajemen Pengetahuan','2','G651'),</v>
      </c>
    </row>
    <row r="467" spans="1:7" ht="12.5" x14ac:dyDescent="0.25">
      <c r="A467" s="9" t="str">
        <f ca="1">IFERROR(__xludf.DUMMYFUNCTION("""COMPUTED_VALUE"""),"KOM1632 - Pengujian dan Penjaminan Mutu Perangkat Lunak")</f>
        <v>KOM1632 - Pengujian dan Penjaminan Mutu Perangkat Lunak</v>
      </c>
      <c r="B467" s="44">
        <v>466</v>
      </c>
      <c r="C467" s="35" t="str">
        <f t="shared" ca="1" si="16"/>
        <v>KOM1632</v>
      </c>
      <c r="D467" s="35" t="str">
        <f t="shared" ca="1" si="17"/>
        <v>Pengujian dan Penjaminan Mutu Perangkat Lunak</v>
      </c>
      <c r="E467" s="44">
        <f ca="1">IFERROR(VLOOKUP(A467,Mentah!D:J,7,FALSE),"")</f>
        <v>2</v>
      </c>
      <c r="F467" s="44" t="str">
        <f ca="1">IFERROR(VLOOKUP(A467,Mentah!D:K,8,FALSE),"")</f>
        <v>G651</v>
      </c>
      <c r="G467" s="35" t="str">
        <f t="shared" ca="1" si="9"/>
        <v>('KOM1632','Pengujian dan Penjaminan Mutu Perangkat Lunak','2','G651'),</v>
      </c>
    </row>
    <row r="468" spans="1:7" ht="12.5" x14ac:dyDescent="0.25">
      <c r="A468" s="9" t="str">
        <f ca="1">IFERROR(__xludf.DUMMYFUNCTION("""COMPUTED_VALUE"""),"KOM1634 - Topik dalam E-Government")</f>
        <v>KOM1634 - Topik dalam E-Government</v>
      </c>
      <c r="B468" s="44">
        <v>467</v>
      </c>
      <c r="C468" s="35" t="str">
        <f t="shared" ca="1" si="16"/>
        <v>KOM1634</v>
      </c>
      <c r="D468" s="35" t="str">
        <f t="shared" ca="1" si="17"/>
        <v>Topik dalam E-Government</v>
      </c>
      <c r="E468" s="44">
        <f ca="1">IFERROR(VLOOKUP(A468,Mentah!D:J,7,FALSE),"")</f>
        <v>2</v>
      </c>
      <c r="F468" s="44" t="str">
        <f ca="1">IFERROR(VLOOKUP(A468,Mentah!D:K,8,FALSE),"")</f>
        <v>G651</v>
      </c>
      <c r="G468" s="35" t="str">
        <f t="shared" ca="1" si="9"/>
        <v>('KOM1634','Topik dalam E-Government','2','G651'),</v>
      </c>
    </row>
    <row r="469" spans="1:7" ht="12.5" x14ac:dyDescent="0.25">
      <c r="A469" s="9" t="str">
        <f ca="1">IFERROR(__xludf.DUMMYFUNCTION("""COMPUTED_VALUE"""),"KOM1622 - Topik dalam Pengenalan Pola")</f>
        <v>KOM1622 - Topik dalam Pengenalan Pola</v>
      </c>
      <c r="B469" s="44">
        <v>468</v>
      </c>
      <c r="C469" s="35" t="str">
        <f t="shared" ca="1" si="16"/>
        <v>KOM1622</v>
      </c>
      <c r="D469" s="35" t="str">
        <f t="shared" ca="1" si="17"/>
        <v>Topik dalam Pengenalan Pola</v>
      </c>
      <c r="E469" s="44">
        <f ca="1">IFERROR(VLOOKUP(A469,Mentah!D:J,7,FALSE),"")</f>
        <v>2</v>
      </c>
      <c r="F469" s="44" t="str">
        <f ca="1">IFERROR(VLOOKUP(A469,Mentah!D:K,8,FALSE),"")</f>
        <v>G651</v>
      </c>
      <c r="G469" s="35" t="str">
        <f t="shared" ca="1" si="9"/>
        <v>('KOM1622','Topik dalam Pengenalan Pola','2','G651'),</v>
      </c>
    </row>
    <row r="470" spans="1:7" ht="12.5" x14ac:dyDescent="0.25">
      <c r="A470" s="9" t="str">
        <f ca="1">IFERROR(__xludf.DUMMYFUNCTION("""COMPUTED_VALUE"""),"KOM1621 - Topik dalam Geoinformatika")</f>
        <v>KOM1621 - Topik dalam Geoinformatika</v>
      </c>
      <c r="B470" s="44">
        <v>469</v>
      </c>
      <c r="C470" s="35" t="str">
        <f t="shared" ca="1" si="16"/>
        <v>KOM1621</v>
      </c>
      <c r="D470" s="35" t="str">
        <f t="shared" ca="1" si="17"/>
        <v>Topik dalam Geoinformatika</v>
      </c>
      <c r="E470" s="44">
        <f ca="1">IFERROR(VLOOKUP(A470,Mentah!D:J,7,FALSE),"")</f>
        <v>2</v>
      </c>
      <c r="F470" s="44" t="str">
        <f ca="1">IFERROR(VLOOKUP(A470,Mentah!D:K,8,FALSE),"")</f>
        <v>G651</v>
      </c>
      <c r="G470" s="35" t="str">
        <f t="shared" ca="1" si="9"/>
        <v>('KOM1621','Topik dalam Geoinformatika','2','G651'),</v>
      </c>
    </row>
    <row r="471" spans="1:7" ht="12.5" x14ac:dyDescent="0.25">
      <c r="A471" s="9" t="str">
        <f ca="1">IFERROR(__xludf.DUMMYFUNCTION("""COMPUTED_VALUE"""),"KOM1503 - Metode Penelitian dan Penyajian Ilmiah")</f>
        <v>KOM1503 - Metode Penelitian dan Penyajian Ilmiah</v>
      </c>
      <c r="B471" s="44">
        <v>470</v>
      </c>
      <c r="C471" s="35" t="str">
        <f t="shared" ca="1" si="16"/>
        <v>KOM1503</v>
      </c>
      <c r="D471" s="35" t="str">
        <f t="shared" ca="1" si="17"/>
        <v>Metode Penelitian dan Penyajian Ilmiah</v>
      </c>
      <c r="E471" s="44">
        <f ca="1">IFERROR(VLOOKUP(A471,Mentah!D:J,7,FALSE),"")</f>
        <v>2</v>
      </c>
      <c r="F471" s="44" t="str">
        <f ca="1">IFERROR(VLOOKUP(A471,Mentah!D:K,8,FALSE),"")</f>
        <v>G651</v>
      </c>
      <c r="G471" s="35" t="str">
        <f t="shared" ca="1" si="9"/>
        <v>('KOM1503','Metode Penelitian dan Penyajian Ilmiah','2','G651'),</v>
      </c>
    </row>
    <row r="472" spans="1:7" ht="12.5" x14ac:dyDescent="0.25">
      <c r="A472" s="9" t="str">
        <f ca="1">IFERROR(__xludf.DUMMYFUNCTION("""COMPUTED_VALUE"""),"BFS150A - Metode Karakterisasi dalam Biofisika")</f>
        <v>BFS150A - Metode Karakterisasi dalam Biofisika</v>
      </c>
      <c r="B472" s="44">
        <v>471</v>
      </c>
      <c r="C472" s="35" t="str">
        <f t="shared" ca="1" si="16"/>
        <v>BFS150A</v>
      </c>
      <c r="D472" s="35" t="str">
        <f t="shared" ca="1" si="17"/>
        <v>Metode Karakterisasi dalam Biofisika</v>
      </c>
      <c r="E472" s="44">
        <f ca="1">IFERROR(VLOOKUP(A472,Mentah!D:J,7,FALSE),"")</f>
        <v>1</v>
      </c>
      <c r="F472" s="44" t="str">
        <f ca="1">IFERROR(VLOOKUP(A472,Mentah!D:K,8,FALSE),"")</f>
        <v>G751</v>
      </c>
      <c r="G472" s="35" t="str">
        <f t="shared" ca="1" si="9"/>
        <v>('BFS150A','Metode Karakterisasi dalam Biofisika','1','G751'),</v>
      </c>
    </row>
    <row r="473" spans="1:7" ht="12.5" x14ac:dyDescent="0.25">
      <c r="A473" s="9" t="str">
        <f ca="1">IFERROR(__xludf.DUMMYFUNCTION("""COMPUTED_VALUE"""),"BFS1501 - Metode Penelitian Biofisika")</f>
        <v>BFS1501 - Metode Penelitian Biofisika</v>
      </c>
      <c r="B473" s="44">
        <v>472</v>
      </c>
      <c r="C473" s="35" t="str">
        <f t="shared" ca="1" si="16"/>
        <v>BFS1501</v>
      </c>
      <c r="D473" s="35" t="str">
        <f t="shared" ca="1" si="17"/>
        <v>Metode Penelitian Biofisika</v>
      </c>
      <c r="E473" s="44">
        <f ca="1">IFERROR(VLOOKUP(A473,Mentah!D:J,7,FALSE),"")</f>
        <v>1</v>
      </c>
      <c r="F473" s="44" t="str">
        <f ca="1">IFERROR(VLOOKUP(A473,Mentah!D:K,8,FALSE),"")</f>
        <v>G751</v>
      </c>
      <c r="G473" s="35" t="str">
        <f t="shared" ca="1" si="9"/>
        <v>('BFS1501','Metode Penelitian Biofisika','1','G751'),</v>
      </c>
    </row>
    <row r="474" spans="1:7" ht="12.5" x14ac:dyDescent="0.25">
      <c r="A474" s="9" t="str">
        <f ca="1">IFERROR(__xludf.DUMMYFUNCTION("""COMPUTED_VALUE"""),"BFS1506 - Material Biokompatibel")</f>
        <v>BFS1506 - Material Biokompatibel</v>
      </c>
      <c r="B474" s="44">
        <v>473</v>
      </c>
      <c r="C474" s="35" t="str">
        <f t="shared" ca="1" si="16"/>
        <v>BFS1506</v>
      </c>
      <c r="D474" s="35" t="str">
        <f t="shared" ca="1" si="17"/>
        <v>Material Biokompatibel</v>
      </c>
      <c r="E474" s="44">
        <f ca="1">IFERROR(VLOOKUP(A474,Mentah!D:J,7,FALSE),"")</f>
        <v>2</v>
      </c>
      <c r="F474" s="44" t="str">
        <f ca="1">IFERROR(VLOOKUP(A474,Mentah!D:K,8,FALSE),"")</f>
        <v>G751</v>
      </c>
      <c r="G474" s="35" t="str">
        <f t="shared" ca="1" si="9"/>
        <v>('BFS1506','Material Biokompatibel','2','G751'),</v>
      </c>
    </row>
    <row r="475" spans="1:7" ht="12.5" x14ac:dyDescent="0.25">
      <c r="A475" s="9" t="str">
        <f ca="1">IFERROR(__xludf.DUMMYFUNCTION("""COMPUTED_VALUE"""),"BFS1507 - Biofisika dan Kompleksitas")</f>
        <v>BFS1507 - Biofisika dan Kompleksitas</v>
      </c>
      <c r="B475" s="44">
        <v>474</v>
      </c>
      <c r="C475" s="35" t="str">
        <f t="shared" ca="1" si="16"/>
        <v>BFS1507</v>
      </c>
      <c r="D475" s="35" t="str">
        <f t="shared" ca="1" si="17"/>
        <v>Biofisika dan Kompleksitas</v>
      </c>
      <c r="E475" s="44">
        <f ca="1">IFERROR(VLOOKUP(A475,Mentah!D:J,7,FALSE),"")</f>
        <v>2</v>
      </c>
      <c r="F475" s="44" t="str">
        <f ca="1">IFERROR(VLOOKUP(A475,Mentah!D:K,8,FALSE),"")</f>
        <v>G751</v>
      </c>
      <c r="G475" s="35" t="str">
        <f t="shared" ca="1" si="9"/>
        <v>('BFS1507','Biofisika dan Kompleksitas','2','G751'),</v>
      </c>
    </row>
    <row r="476" spans="1:7" ht="12.5" x14ac:dyDescent="0.25">
      <c r="A476" s="9" t="str">
        <f ca="1">IFERROR(__xludf.DUMMYFUNCTION("""COMPUTED_VALUE"""),"BFS1502 - Teori Kuantum Orbital dan Molekuler")</f>
        <v>BFS1502 - Teori Kuantum Orbital dan Molekuler</v>
      </c>
      <c r="B476" s="44">
        <v>475</v>
      </c>
      <c r="C476" s="35" t="str">
        <f t="shared" ca="1" si="16"/>
        <v>BFS1502</v>
      </c>
      <c r="D476" s="35" t="str">
        <f t="shared" ca="1" si="17"/>
        <v>Teori Kuantum Orbital dan Molekuler</v>
      </c>
      <c r="E476" s="44">
        <f ca="1">IFERROR(VLOOKUP(A476,Mentah!D:J,7,FALSE),"")</f>
        <v>1</v>
      </c>
      <c r="F476" s="44" t="str">
        <f ca="1">IFERROR(VLOOKUP(A476,Mentah!D:K,8,FALSE),"")</f>
        <v>G751</v>
      </c>
      <c r="G476" s="35" t="str">
        <f t="shared" ca="1" si="9"/>
        <v>('BFS1502','Teori Kuantum Orbital dan Molekuler','1','G751'),</v>
      </c>
    </row>
    <row r="477" spans="1:7" ht="12.5" x14ac:dyDescent="0.25">
      <c r="A477" s="9" t="str">
        <f ca="1">IFERROR(__xludf.DUMMYFUNCTION("""COMPUTED_VALUE"""),"BFS1503 - Biofisika Termal")</f>
        <v>BFS1503 - Biofisika Termal</v>
      </c>
      <c r="B477" s="44">
        <v>476</v>
      </c>
      <c r="C477" s="35" t="str">
        <f t="shared" ca="1" si="16"/>
        <v>BFS1503</v>
      </c>
      <c r="D477" s="35" t="str">
        <f t="shared" ca="1" si="17"/>
        <v>Biofisika Termal</v>
      </c>
      <c r="E477" s="44">
        <f ca="1">IFERROR(VLOOKUP(A477,Mentah!D:J,7,FALSE),"")</f>
        <v>1</v>
      </c>
      <c r="F477" s="44" t="str">
        <f ca="1">IFERROR(VLOOKUP(A477,Mentah!D:K,8,FALSE),"")</f>
        <v>G751</v>
      </c>
      <c r="G477" s="35" t="str">
        <f t="shared" ca="1" si="9"/>
        <v>('BFS1503','Biofisika Termal','1','G751'),</v>
      </c>
    </row>
    <row r="478" spans="1:7" ht="12.5" x14ac:dyDescent="0.25">
      <c r="A478" s="9" t="str">
        <f ca="1">IFERROR(__xludf.DUMMYFUNCTION("""COMPUTED_VALUE"""),"BFS1504 - Bioelektromagnetisme")</f>
        <v>BFS1504 - Bioelektromagnetisme</v>
      </c>
      <c r="B478" s="44">
        <v>477</v>
      </c>
      <c r="C478" s="35" t="str">
        <f t="shared" ca="1" si="16"/>
        <v>BFS1504</v>
      </c>
      <c r="D478" s="35" t="str">
        <f t="shared" ca="1" si="17"/>
        <v>Bioelektromagnetisme</v>
      </c>
      <c r="E478" s="44">
        <f ca="1">IFERROR(VLOOKUP(A478,Mentah!D:J,7,FALSE),"")</f>
        <v>1</v>
      </c>
      <c r="F478" s="44" t="str">
        <f ca="1">IFERROR(VLOOKUP(A478,Mentah!D:K,8,FALSE),"")</f>
        <v>G751</v>
      </c>
      <c r="G478" s="35" t="str">
        <f t="shared" ca="1" si="9"/>
        <v>('BFS1504','Bioelektromagnetisme','1','G751'),</v>
      </c>
    </row>
    <row r="479" spans="1:7" ht="12.5" x14ac:dyDescent="0.25">
      <c r="A479" s="9" t="str">
        <f ca="1">IFERROR(__xludf.DUMMYFUNCTION("""COMPUTED_VALUE"""),"BFS150D - Material Bioinspirasi")</f>
        <v>BFS150D - Material Bioinspirasi</v>
      </c>
      <c r="B479" s="44">
        <v>478</v>
      </c>
      <c r="C479" s="35" t="str">
        <f t="shared" ca="1" si="16"/>
        <v>BFS150D</v>
      </c>
      <c r="D479" s="35" t="str">
        <f t="shared" ca="1" si="17"/>
        <v>Material Bioinspirasi</v>
      </c>
      <c r="E479" s="44">
        <f ca="1">IFERROR(VLOOKUP(A479,Mentah!D:J,7,FALSE),"")</f>
        <v>1</v>
      </c>
      <c r="F479" s="44" t="str">
        <f ca="1">IFERROR(VLOOKUP(A479,Mentah!D:K,8,FALSE),"")</f>
        <v>G751</v>
      </c>
      <c r="G479" s="35" t="str">
        <f t="shared" ca="1" si="9"/>
        <v>('BFS150D','Material Bioinspirasi','1','G751'),</v>
      </c>
    </row>
    <row r="480" spans="1:7" ht="12.5" x14ac:dyDescent="0.25">
      <c r="A480" s="9" t="str">
        <f ca="1">IFERROR(__xludf.DUMMYFUNCTION("""COMPUTED_VALUE"""),"BFS150I - Fisika Protein")</f>
        <v>BFS150I - Fisika Protein</v>
      </c>
      <c r="B480" s="44">
        <v>479</v>
      </c>
      <c r="C480" s="35" t="str">
        <f t="shared" ca="1" si="16"/>
        <v>BFS150I</v>
      </c>
      <c r="D480" s="35" t="str">
        <f t="shared" ca="1" si="17"/>
        <v>Fisika Protein</v>
      </c>
      <c r="E480" s="44">
        <f ca="1">IFERROR(VLOOKUP(A480,Mentah!D:J,7,FALSE),"")</f>
        <v>1</v>
      </c>
      <c r="F480" s="44" t="str">
        <f ca="1">IFERROR(VLOOKUP(A480,Mentah!D:K,8,FALSE),"")</f>
        <v>G751</v>
      </c>
      <c r="G480" s="35" t="str">
        <f t="shared" ca="1" si="9"/>
        <v>('BFS150I','Fisika Protein','1','G751'),</v>
      </c>
    </row>
    <row r="481" spans="1:7" ht="12.5" x14ac:dyDescent="0.25">
      <c r="A481" s="9" t="str">
        <f ca="1">IFERROR(__xludf.DUMMYFUNCTION("""COMPUTED_VALUE"""),"BFS150B - Pemodelan Biofisik")</f>
        <v>BFS150B - Pemodelan Biofisik</v>
      </c>
      <c r="B481" s="44">
        <v>480</v>
      </c>
      <c r="C481" s="35" t="str">
        <f t="shared" ca="1" si="16"/>
        <v>BFS150B</v>
      </c>
      <c r="D481" s="35" t="str">
        <f t="shared" ca="1" si="17"/>
        <v>Pemodelan Biofisik</v>
      </c>
      <c r="E481" s="44">
        <f ca="1">IFERROR(VLOOKUP(A481,Mentah!D:J,7,FALSE),"")</f>
        <v>1</v>
      </c>
      <c r="F481" s="44" t="str">
        <f ca="1">IFERROR(VLOOKUP(A481,Mentah!D:K,8,FALSE),"")</f>
        <v>G751</v>
      </c>
      <c r="G481" s="35" t="str">
        <f t="shared" ca="1" si="9"/>
        <v>('BFS150B','Pemodelan Biofisik','1','G751'),</v>
      </c>
    </row>
    <row r="482" spans="1:7" ht="12.5" x14ac:dyDescent="0.25">
      <c r="A482" s="9" t="str">
        <f ca="1">IFERROR(__xludf.DUMMYFUNCTION("""COMPUTED_VALUE"""),"BFS150G - Biofisika Lingkungan")</f>
        <v>BFS150G - Biofisika Lingkungan</v>
      </c>
      <c r="B482" s="44">
        <v>481</v>
      </c>
      <c r="C482" s="35" t="str">
        <f t="shared" ca="1" si="16"/>
        <v>BFS150G</v>
      </c>
      <c r="D482" s="35" t="str">
        <f t="shared" ca="1" si="17"/>
        <v>Biofisika Lingkungan</v>
      </c>
      <c r="E482" s="44">
        <f ca="1">IFERROR(VLOOKUP(A482,Mentah!D:J,7,FALSE),"")</f>
        <v>1</v>
      </c>
      <c r="F482" s="44" t="str">
        <f ca="1">IFERROR(VLOOKUP(A482,Mentah!D:K,8,FALSE),"")</f>
        <v>G751</v>
      </c>
      <c r="G482" s="35" t="str">
        <f t="shared" ca="1" si="9"/>
        <v>('BFS150G','Biofisika Lingkungan','1','G751'),</v>
      </c>
    </row>
    <row r="483" spans="1:7" ht="12.5" x14ac:dyDescent="0.25">
      <c r="A483" s="9" t="str">
        <f ca="1">IFERROR(__xludf.DUMMYFUNCTION("""COMPUTED_VALUE"""),"BFS1505 - Biofisika Membran dan Sel")</f>
        <v>BFS1505 - Biofisika Membran dan Sel</v>
      </c>
      <c r="B483" s="44">
        <v>482</v>
      </c>
      <c r="C483" s="35" t="str">
        <f t="shared" ca="1" si="16"/>
        <v>BFS1505</v>
      </c>
      <c r="D483" s="35" t="str">
        <f t="shared" ca="1" si="17"/>
        <v>Biofisika Membran dan Sel</v>
      </c>
      <c r="E483" s="44">
        <f ca="1">IFERROR(VLOOKUP(A483,Mentah!D:J,7,FALSE),"")</f>
        <v>2</v>
      </c>
      <c r="F483" s="44" t="str">
        <f ca="1">IFERROR(VLOOKUP(A483,Mentah!D:K,8,FALSE),"")</f>
        <v>G751</v>
      </c>
      <c r="G483" s="35" t="str">
        <f t="shared" ca="1" si="9"/>
        <v>('BFS1505','Biofisika Membran dan Sel','2','G751'),</v>
      </c>
    </row>
    <row r="484" spans="1:7" ht="12.5" x14ac:dyDescent="0.25">
      <c r="A484" s="9" t="str">
        <f ca="1">IFERROR(__xludf.DUMMYFUNCTION("""COMPUTED_VALUE"""),"BIK1694 - Seminar nasional")</f>
        <v>BIK1694 - Seminar nasional</v>
      </c>
      <c r="B484" s="44">
        <v>483</v>
      </c>
      <c r="C484" s="35" t="str">
        <f t="shared" ca="1" si="16"/>
        <v>BIK1694</v>
      </c>
      <c r="D484" s="35" t="str">
        <f t="shared" ca="1" si="17"/>
        <v>Seminar nasional</v>
      </c>
      <c r="E484" s="44">
        <f ca="1">IFERROR(VLOOKUP(A484,Mentah!D:J,7,FALSE),"")</f>
        <v>4</v>
      </c>
      <c r="F484" s="44" t="str">
        <f ca="1">IFERROR(VLOOKUP(A484,Mentah!D:K,8,FALSE),"")</f>
        <v>G851</v>
      </c>
      <c r="G484" s="35" t="str">
        <f t="shared" ca="1" si="9"/>
        <v>('BIK1694','Seminar nasional','4','G851'),</v>
      </c>
    </row>
    <row r="485" spans="1:7" ht="12.5" x14ac:dyDescent="0.25">
      <c r="A485" s="9" t="str">
        <f ca="1">IFERROR(__xludf.DUMMYFUNCTION("""COMPUTED_VALUE"""),"BIK1505 - Metabolisme Tumbuhan")</f>
        <v>BIK1505 - Metabolisme Tumbuhan</v>
      </c>
      <c r="B485" s="44">
        <v>484</v>
      </c>
      <c r="C485" s="35" t="str">
        <f t="shared" ca="1" si="16"/>
        <v>BIK1505</v>
      </c>
      <c r="D485" s="35" t="str">
        <f t="shared" ca="1" si="17"/>
        <v>Metabolisme Tumbuhan</v>
      </c>
      <c r="E485" s="44">
        <f ca="1">IFERROR(VLOOKUP(A485,Mentah!D:J,7,FALSE),"")</f>
        <v>2</v>
      </c>
      <c r="F485" s="44" t="str">
        <f ca="1">IFERROR(VLOOKUP(A485,Mentah!D:K,8,FALSE),"")</f>
        <v>G851</v>
      </c>
      <c r="G485" s="35" t="str">
        <f t="shared" ca="1" si="9"/>
        <v>('BIK1505','Metabolisme Tumbuhan','2','G851'),</v>
      </c>
    </row>
    <row r="486" spans="1:7" ht="12.5" x14ac:dyDescent="0.25">
      <c r="A486" s="9" t="str">
        <f ca="1">IFERROR(__xludf.DUMMYFUNCTION("""COMPUTED_VALUE"""),"BIK1526 - Biokimia Genom")</f>
        <v>BIK1526 - Biokimia Genom</v>
      </c>
      <c r="B486" s="44">
        <v>485</v>
      </c>
      <c r="C486" s="35" t="str">
        <f t="shared" ca="1" si="16"/>
        <v>BIK1526</v>
      </c>
      <c r="D486" s="35" t="str">
        <f t="shared" ca="1" si="17"/>
        <v>Biokimia Genom</v>
      </c>
      <c r="E486" s="44">
        <f ca="1">IFERROR(VLOOKUP(A486,Mentah!D:J,7,FALSE),"")</f>
        <v>2</v>
      </c>
      <c r="F486" s="44" t="str">
        <f ca="1">IFERROR(VLOOKUP(A486,Mentah!D:K,8,FALSE),"")</f>
        <v>G851</v>
      </c>
      <c r="G486" s="35" t="str">
        <f t="shared" ca="1" si="9"/>
        <v>('BIK1526','Biokimia Genom','2','G851'),</v>
      </c>
    </row>
    <row r="487" spans="1:7" ht="12.5" x14ac:dyDescent="0.25">
      <c r="A487" s="9" t="str">
        <f ca="1">IFERROR(__xludf.DUMMYFUNCTION("""COMPUTED_VALUE"""),"BIK695B - Publikasi Prosiding")</f>
        <v>BIK695B - Publikasi Prosiding</v>
      </c>
      <c r="B487" s="44">
        <v>486</v>
      </c>
      <c r="C487" s="35" t="str">
        <f t="shared" ca="1" si="16"/>
        <v>BIK695B</v>
      </c>
      <c r="D487" s="35" t="str">
        <f t="shared" ca="1" si="17"/>
        <v>Publikasi Prosiding</v>
      </c>
      <c r="E487" s="44">
        <f ca="1">IFERROR(VLOOKUP(A487,Mentah!D:J,7,FALSE),"")</f>
        <v>4</v>
      </c>
      <c r="F487" s="44" t="str">
        <f ca="1">IFERROR(VLOOKUP(A487,Mentah!D:K,8,FALSE),"")</f>
        <v>G851</v>
      </c>
      <c r="G487" s="35" t="str">
        <f t="shared" ca="1" si="9"/>
        <v>('BIK695B','Publikasi Prosiding','4','G851'),</v>
      </c>
    </row>
    <row r="488" spans="1:7" ht="12.5" x14ac:dyDescent="0.25">
      <c r="A488" s="9" t="str">
        <f ca="1">IFERROR(__xludf.DUMMYFUNCTION("""COMPUTED_VALUE"""),"BIK1506 - Bioinformatika Molekuler")</f>
        <v>BIK1506 - Bioinformatika Molekuler</v>
      </c>
      <c r="B488" s="44">
        <v>487</v>
      </c>
      <c r="C488" s="35" t="str">
        <f t="shared" ca="1" si="16"/>
        <v>BIK1506</v>
      </c>
      <c r="D488" s="35" t="str">
        <f t="shared" ca="1" si="17"/>
        <v>Bioinformatika Molekuler</v>
      </c>
      <c r="E488" s="44">
        <f ca="1">IFERROR(VLOOKUP(A488,Mentah!D:J,7,FALSE),"")</f>
        <v>2</v>
      </c>
      <c r="F488" s="44" t="str">
        <f ca="1">IFERROR(VLOOKUP(A488,Mentah!D:K,8,FALSE),"")</f>
        <v>G851</v>
      </c>
      <c r="G488" s="35" t="str">
        <f t="shared" ca="1" si="9"/>
        <v>('BIK1506','Bioinformatika Molekuler','2','G851'),</v>
      </c>
    </row>
    <row r="489" spans="1:7" ht="12.5" x14ac:dyDescent="0.25">
      <c r="A489" s="9" t="str">
        <f ca="1">IFERROR(__xludf.DUMMYFUNCTION("""COMPUTED_VALUE"""),"BIK1532 - Bioinstrumentasi untuk Metabolit Sekunder")</f>
        <v>BIK1532 - Bioinstrumentasi untuk Metabolit Sekunder</v>
      </c>
      <c r="B489" s="44">
        <v>488</v>
      </c>
      <c r="C489" s="35" t="str">
        <f t="shared" ca="1" si="16"/>
        <v>BIK1532</v>
      </c>
      <c r="D489" s="35" t="str">
        <f t="shared" ca="1" si="17"/>
        <v>Bioinstrumentasi untuk Metabolit Sekunder</v>
      </c>
      <c r="E489" s="44">
        <f ca="1">IFERROR(VLOOKUP(A489,Mentah!D:J,7,FALSE),"")</f>
        <v>2</v>
      </c>
      <c r="F489" s="44" t="str">
        <f ca="1">IFERROR(VLOOKUP(A489,Mentah!D:K,8,FALSE),"")</f>
        <v>G851</v>
      </c>
      <c r="G489" s="35" t="str">
        <f t="shared" ca="1" si="9"/>
        <v>('BIK1532','Bioinstrumentasi untuk Metabolit Sekunder','2','G851'),</v>
      </c>
    </row>
    <row r="490" spans="1:7" ht="12.5" x14ac:dyDescent="0.25">
      <c r="A490" s="9" t="str">
        <f ca="1">IFERROR(__xludf.DUMMYFUNCTION("""COMPUTED_VALUE"""),"BIK1695 - Publikasi Nasional")</f>
        <v>BIK1695 - Publikasi Nasional</v>
      </c>
      <c r="B490" s="44">
        <v>489</v>
      </c>
      <c r="C490" s="35" t="str">
        <f t="shared" ca="1" si="16"/>
        <v>BIK1695</v>
      </c>
      <c r="D490" s="35" t="str">
        <f t="shared" ca="1" si="17"/>
        <v>Publikasi Nasional</v>
      </c>
      <c r="E490" s="44">
        <f ca="1">IFERROR(VLOOKUP(A490,Mentah!D:J,7,FALSE),"")</f>
        <v>4</v>
      </c>
      <c r="F490" s="44" t="str">
        <f ca="1">IFERROR(VLOOKUP(A490,Mentah!D:K,8,FALSE),"")</f>
        <v>G851</v>
      </c>
      <c r="G490" s="35" t="str">
        <f t="shared" ca="1" si="9"/>
        <v>('BIK1695','Publikasi Nasional','4','G851'),</v>
      </c>
    </row>
    <row r="491" spans="1:7" ht="12.5" x14ac:dyDescent="0.25">
      <c r="A491" s="9" t="str">
        <f ca="1">IFERROR(__xludf.DUMMYFUNCTION("""COMPUTED_VALUE"""),"BIK1612 - Patobiologi Aterosklerosis")</f>
        <v>BIK1612 - Patobiologi Aterosklerosis</v>
      </c>
      <c r="B491" s="44">
        <v>490</v>
      </c>
      <c r="C491" s="35" t="str">
        <f t="shared" ca="1" si="16"/>
        <v>BIK1612</v>
      </c>
      <c r="D491" s="35" t="str">
        <f t="shared" ca="1" si="17"/>
        <v>Patobiologi Aterosklerosis</v>
      </c>
      <c r="E491" s="44">
        <f ca="1">IFERROR(VLOOKUP(A491,Mentah!D:J,7,FALSE),"")</f>
        <v>2</v>
      </c>
      <c r="F491" s="44" t="str">
        <f ca="1">IFERROR(VLOOKUP(A491,Mentah!D:K,8,FALSE),"")</f>
        <v>G851</v>
      </c>
      <c r="G491" s="35" t="str">
        <f t="shared" ca="1" si="9"/>
        <v>('BIK1612','Patobiologi Aterosklerosis','2','G851'),</v>
      </c>
    </row>
    <row r="492" spans="1:7" ht="12.5" x14ac:dyDescent="0.25">
      <c r="A492" s="9" t="str">
        <f ca="1">IFERROR(__xludf.DUMMYFUNCTION("""COMPUTED_VALUE"""),"BIK1502 - Teknik Penelitian Biokimia")</f>
        <v>BIK1502 - Teknik Penelitian Biokimia</v>
      </c>
      <c r="B492" s="44">
        <v>491</v>
      </c>
      <c r="C492" s="35" t="str">
        <f t="shared" ca="1" si="16"/>
        <v>BIK1502</v>
      </c>
      <c r="D492" s="35" t="str">
        <f t="shared" ca="1" si="17"/>
        <v>Teknik Penelitian Biokimia</v>
      </c>
      <c r="E492" s="44">
        <f ca="1">IFERROR(VLOOKUP(A492,Mentah!D:J,7,FALSE),"")</f>
        <v>2</v>
      </c>
      <c r="F492" s="44" t="str">
        <f ca="1">IFERROR(VLOOKUP(A492,Mentah!D:K,8,FALSE),"")</f>
        <v>G851</v>
      </c>
      <c r="G492" s="35" t="str">
        <f t="shared" ca="1" si="9"/>
        <v>('BIK1502','Teknik Penelitian Biokimia','2','G851'),</v>
      </c>
    </row>
    <row r="493" spans="1:7" ht="12.5" x14ac:dyDescent="0.25">
      <c r="A493" s="9" t="str">
        <f ca="1">IFERROR(__xludf.DUMMYFUNCTION("""COMPUTED_VALUE"""),"BIK1524 - Struktur dan Fungsi Protein")</f>
        <v>BIK1524 - Struktur dan Fungsi Protein</v>
      </c>
      <c r="B493" s="44">
        <v>492</v>
      </c>
      <c r="C493" s="35" t="str">
        <f t="shared" ca="1" si="16"/>
        <v>BIK1524</v>
      </c>
      <c r="D493" s="35" t="str">
        <f t="shared" ca="1" si="17"/>
        <v>Struktur dan Fungsi Protein</v>
      </c>
      <c r="E493" s="44">
        <f ca="1">IFERROR(VLOOKUP(A493,Mentah!D:J,7,FALSE),"")</f>
        <v>2</v>
      </c>
      <c r="F493" s="44" t="str">
        <f ca="1">IFERROR(VLOOKUP(A493,Mentah!D:K,8,FALSE),"")</f>
        <v>G851</v>
      </c>
      <c r="G493" s="35" t="str">
        <f t="shared" ca="1" si="9"/>
        <v>('BIK1524','Struktur dan Fungsi Protein','2','G851'),</v>
      </c>
    </row>
    <row r="494" spans="1:7" ht="12.5" x14ac:dyDescent="0.25">
      <c r="A494" s="9" t="str">
        <f ca="1">IFERROR(__xludf.DUMMYFUNCTION("""COMPUTED_VALUE"""),"BIK1512 - Aplikasi Biofarmaka untuk Kesehatan")</f>
        <v>BIK1512 - Aplikasi Biofarmaka untuk Kesehatan</v>
      </c>
      <c r="B494" s="44">
        <v>493</v>
      </c>
      <c r="C494" s="35" t="str">
        <f t="shared" ca="1" si="16"/>
        <v>BIK1512</v>
      </c>
      <c r="D494" s="35" t="str">
        <f t="shared" ca="1" si="17"/>
        <v>Aplikasi Biofarmaka untuk Kesehatan</v>
      </c>
      <c r="E494" s="44">
        <f ca="1">IFERROR(VLOOKUP(A494,Mentah!D:J,7,FALSE),"")</f>
        <v>2</v>
      </c>
      <c r="F494" s="44" t="str">
        <f ca="1">IFERROR(VLOOKUP(A494,Mentah!D:K,8,FALSE),"")</f>
        <v>G851</v>
      </c>
      <c r="G494" s="35" t="str">
        <f t="shared" ca="1" si="9"/>
        <v>('BIK1512','Aplikasi Biofarmaka untuk Kesehatan','2','G851'),</v>
      </c>
    </row>
    <row r="495" spans="1:7" ht="12.5" x14ac:dyDescent="0.25">
      <c r="A495" s="9" t="str">
        <f ca="1">IFERROR(__xludf.DUMMYFUNCTION("""COMPUTED_VALUE"""),"BIK1522 - Teknologi DNA")</f>
        <v>BIK1522 - Teknologi DNA</v>
      </c>
      <c r="B495" s="44">
        <v>494</v>
      </c>
      <c r="C495" s="35" t="str">
        <f t="shared" ca="1" si="16"/>
        <v>BIK1522</v>
      </c>
      <c r="D495" s="35" t="str">
        <f t="shared" ca="1" si="17"/>
        <v>Teknologi DNA</v>
      </c>
      <c r="E495" s="44">
        <f ca="1">IFERROR(VLOOKUP(A495,Mentah!D:J,7,FALSE),"")</f>
        <v>2</v>
      </c>
      <c r="F495" s="44" t="str">
        <f ca="1">IFERROR(VLOOKUP(A495,Mentah!D:K,8,FALSE),"")</f>
        <v>G851</v>
      </c>
      <c r="G495" s="35" t="str">
        <f t="shared" ca="1" si="9"/>
        <v>('BIK1522','Teknologi DNA','2','G851'),</v>
      </c>
    </row>
    <row r="496" spans="1:7" ht="12.5" x14ac:dyDescent="0.25">
      <c r="A496" s="9" t="str">
        <f ca="1">IFERROR(__xludf.DUMMYFUNCTION("""COMPUTED_VALUE"""),"PWD1511 - Analisis Keberlanjutan Wilayah dan Perdesaan")</f>
        <v>PWD1511 - Analisis Keberlanjutan Wilayah dan Perdesaan</v>
      </c>
      <c r="B496" s="44">
        <v>495</v>
      </c>
      <c r="C496" s="35" t="str">
        <f t="shared" ca="1" si="16"/>
        <v>PWD1511</v>
      </c>
      <c r="D496" s="35" t="str">
        <f t="shared" ca="1" si="17"/>
        <v>Analisis Keberlanjutan Wilayah dan Perdesaan</v>
      </c>
      <c r="E496" s="44">
        <f ca="1">IFERROR(VLOOKUP(A496,Mentah!D:J,7,FALSE),"")</f>
        <v>2</v>
      </c>
      <c r="F496" s="44" t="str">
        <f ca="1">IFERROR(VLOOKUP(A496,Mentah!D:K,8,FALSE),"")</f>
        <v>H051</v>
      </c>
      <c r="G496" s="35" t="str">
        <f t="shared" ca="1" si="9"/>
        <v>('PWD1511','Analisis Keberlanjutan Wilayah dan Perdesaan','2','H051'),</v>
      </c>
    </row>
    <row r="497" spans="1:7" ht="12.5" x14ac:dyDescent="0.25">
      <c r="A497" s="9" t="str">
        <f ca="1">IFERROR(__xludf.DUMMYFUNCTION("""COMPUTED_VALUE"""),"PWD1500 - Metodologi Penelitian")</f>
        <v>PWD1500 - Metodologi Penelitian</v>
      </c>
      <c r="B497" s="44">
        <v>496</v>
      </c>
      <c r="C497" s="35" t="str">
        <f t="shared" ca="1" si="16"/>
        <v>PWD1500</v>
      </c>
      <c r="D497" s="35" t="str">
        <f t="shared" ca="1" si="17"/>
        <v>Metodologi Penelitian</v>
      </c>
      <c r="E497" s="44">
        <f ca="1">IFERROR(VLOOKUP(A497,Mentah!D:J,7,FALSE),"")</f>
        <v>2</v>
      </c>
      <c r="F497" s="44" t="str">
        <f ca="1">IFERROR(VLOOKUP(A497,Mentah!D:K,8,FALSE),"")</f>
        <v>H051</v>
      </c>
      <c r="G497" s="35" t="str">
        <f t="shared" ca="1" si="9"/>
        <v>('PWD1500','Metodologi Penelitian','2','H051'),</v>
      </c>
    </row>
    <row r="498" spans="1:7" ht="12.5" x14ac:dyDescent="0.25">
      <c r="A498" s="9" t="str">
        <f ca="1">IFERROR(__xludf.DUMMYFUNCTION("""COMPUTED_VALUE"""),"ESL1683 - Ekonomi Kelembagaan dan Kebijakan Sumberdaya Alam")</f>
        <v>ESL1683 - Ekonomi Kelembagaan dan Kebijakan Sumberdaya Alam</v>
      </c>
      <c r="B498" s="44">
        <v>497</v>
      </c>
      <c r="C498" s="35" t="str">
        <f t="shared" ca="1" si="16"/>
        <v>ESL1683</v>
      </c>
      <c r="D498" s="35" t="str">
        <f t="shared" ca="1" si="17"/>
        <v>Ekonomi Kelembagaan dan Kebijakan Sumberdaya Alam</v>
      </c>
      <c r="E498" s="44">
        <f ca="1">IFERROR(VLOOKUP(A498,Mentah!D:J,7,FALSE),"")</f>
        <v>2</v>
      </c>
      <c r="F498" s="44" t="str">
        <f ca="1">IFERROR(VLOOKUP(A498,Mentah!D:K,8,FALSE),"")</f>
        <v>H051</v>
      </c>
      <c r="G498" s="35" t="str">
        <f t="shared" ca="1" si="9"/>
        <v>('ESL1683','Ekonomi Kelembagaan dan Kebijakan Sumberdaya Alam','2','H051'),</v>
      </c>
    </row>
    <row r="499" spans="1:7" ht="12.5" x14ac:dyDescent="0.25">
      <c r="A499" s="9" t="str">
        <f ca="1">IFERROR(__xludf.DUMMYFUNCTION("""COMPUTED_VALUE"""),"MPD1507 - Pengelolaan Sumberdaya Alam dan Lingkungan")</f>
        <v>MPD1507 - Pengelolaan Sumberdaya Alam dan Lingkungan</v>
      </c>
      <c r="B499" s="44">
        <v>498</v>
      </c>
      <c r="C499" s="35" t="str">
        <f t="shared" ca="1" si="16"/>
        <v>MPD1507</v>
      </c>
      <c r="D499" s="35" t="str">
        <f t="shared" ca="1" si="17"/>
        <v>Pengelolaan Sumberdaya Alam dan Lingkungan</v>
      </c>
      <c r="E499" s="44">
        <f ca="1">IFERROR(VLOOKUP(A499,Mentah!D:J,7,FALSE),"")</f>
        <v>2</v>
      </c>
      <c r="F499" s="44" t="str">
        <f ca="1">IFERROR(VLOOKUP(A499,Mentah!D:K,8,FALSE),"")</f>
        <v>H052</v>
      </c>
      <c r="G499" s="35" t="str">
        <f t="shared" ca="1" si="9"/>
        <v>('MPD1507','Pengelolaan Sumberdaya Alam dan Lingkungan','2','H052'),</v>
      </c>
    </row>
    <row r="500" spans="1:7" ht="12.5" x14ac:dyDescent="0.25">
      <c r="A500" s="9" t="str">
        <f ca="1">IFERROR(__xludf.DUMMYFUNCTION("""COMPUTED_VALUE"""),"MPD1603 - Strategi Pembangunan Daerah Berkelanjutan")</f>
        <v>MPD1603 - Strategi Pembangunan Daerah Berkelanjutan</v>
      </c>
      <c r="B500" s="44">
        <v>499</v>
      </c>
      <c r="C500" s="35" t="str">
        <f t="shared" ca="1" si="16"/>
        <v>MPD1603</v>
      </c>
      <c r="D500" s="35" t="str">
        <f t="shared" ca="1" si="17"/>
        <v>Strategi Pembangunan Daerah Berkelanjutan</v>
      </c>
      <c r="E500" s="44">
        <f ca="1">IFERROR(VLOOKUP(A500,Mentah!D:J,7,FALSE),"")</f>
        <v>2</v>
      </c>
      <c r="F500" s="44" t="str">
        <f ca="1">IFERROR(VLOOKUP(A500,Mentah!D:K,8,FALSE),"")</f>
        <v>H052</v>
      </c>
      <c r="G500" s="35" t="str">
        <f t="shared" ca="1" si="9"/>
        <v>('MPD1603','Strategi Pembangunan Daerah Berkelanjutan','2','H052'),</v>
      </c>
    </row>
    <row r="501" spans="1:7" ht="12.5" x14ac:dyDescent="0.25">
      <c r="A501" s="9" t="str">
        <f ca="1">IFERROR(__xludf.DUMMYFUNCTION("""COMPUTED_VALUE"""),"MPD1508 - Perencanaan dan Pengelolaan Proyek Pembangunan")</f>
        <v>MPD1508 - Perencanaan dan Pengelolaan Proyek Pembangunan</v>
      </c>
      <c r="B501" s="44">
        <v>500</v>
      </c>
      <c r="C501" s="35" t="str">
        <f t="shared" ca="1" si="16"/>
        <v>MPD1508</v>
      </c>
      <c r="D501" s="35" t="str">
        <f t="shared" ca="1" si="17"/>
        <v>Perencanaan dan Pengelolaan Proyek Pembangunan</v>
      </c>
      <c r="E501" s="44">
        <f ca="1">IFERROR(VLOOKUP(A501,Mentah!D:J,7,FALSE),"")</f>
        <v>2</v>
      </c>
      <c r="F501" s="44" t="str">
        <f ca="1">IFERROR(VLOOKUP(A501,Mentah!D:K,8,FALSE),"")</f>
        <v>H052</v>
      </c>
      <c r="G501" s="35" t="str">
        <f t="shared" ca="1" si="9"/>
        <v>('MPD1508','Perencanaan dan Pengelolaan Proyek Pembangunan','2','H052'),</v>
      </c>
    </row>
    <row r="502" spans="1:7" ht="12.5" x14ac:dyDescent="0.25">
      <c r="A502" s="9" t="str">
        <f ca="1">IFERROR(__xludf.DUMMYFUNCTION("""COMPUTED_VALUE"""),"MPD1602 - Pembangunan Kewirausahaan Daerah Dan Ekonomi Lokal")</f>
        <v>MPD1602 - Pembangunan Kewirausahaan Daerah Dan Ekonomi Lokal</v>
      </c>
      <c r="B502" s="44">
        <v>501</v>
      </c>
      <c r="C502" s="35" t="str">
        <f t="shared" ca="1" si="16"/>
        <v>MPD1602</v>
      </c>
      <c r="D502" s="35" t="str">
        <f t="shared" ca="1" si="17"/>
        <v>Pembangunan Kewirausahaan Daerah Dan Ekonomi Lokal</v>
      </c>
      <c r="E502" s="44">
        <f ca="1">IFERROR(VLOOKUP(A502,Mentah!D:J,7,FALSE),"")</f>
        <v>2</v>
      </c>
      <c r="F502" s="44" t="str">
        <f ca="1">IFERROR(VLOOKUP(A502,Mentah!D:K,8,FALSE),"")</f>
        <v>H052</v>
      </c>
      <c r="G502" s="35" t="str">
        <f t="shared" ca="1" si="9"/>
        <v>('MPD1602','Pembangunan Kewirausahaan Daerah Dan Ekonomi Lokal','2','H052'),</v>
      </c>
    </row>
    <row r="503" spans="1:7" ht="12.5" x14ac:dyDescent="0.25">
      <c r="A503" s="9" t="str">
        <f ca="1">IFERROR(__xludf.DUMMYFUNCTION("""COMPUTED_VALUE"""),"MPD160A - Metodologi Riset Pembangunan Daerah")</f>
        <v>MPD160A - Metodologi Riset Pembangunan Daerah</v>
      </c>
      <c r="B503" s="44">
        <v>502</v>
      </c>
      <c r="C503" s="35" t="str">
        <f t="shared" ca="1" si="16"/>
        <v>MPD160A</v>
      </c>
      <c r="D503" s="35" t="str">
        <f t="shared" ca="1" si="17"/>
        <v>Metodologi Riset Pembangunan Daerah</v>
      </c>
      <c r="E503" s="44">
        <f ca="1">IFERROR(VLOOKUP(A503,Mentah!D:J,7,FALSE),"")</f>
        <v>2</v>
      </c>
      <c r="F503" s="44" t="str">
        <f ca="1">IFERROR(VLOOKUP(A503,Mentah!D:K,8,FALSE),"")</f>
        <v>H052</v>
      </c>
      <c r="G503" s="35" t="str">
        <f t="shared" ca="1" si="9"/>
        <v>('MPD160A','Metodologi Riset Pembangunan Daerah','2','H052'),</v>
      </c>
    </row>
    <row r="504" spans="1:7" ht="12.5" x14ac:dyDescent="0.25">
      <c r="A504" s="9" t="str">
        <f ca="1">IFERROR(__xludf.DUMMYFUNCTION("""COMPUTED_VALUE"""),"EKO1603 - Ekonometrika II")</f>
        <v>EKO1603 - Ekonometrika II</v>
      </c>
      <c r="B504" s="44">
        <v>503</v>
      </c>
      <c r="C504" s="35" t="str">
        <f t="shared" ca="1" si="16"/>
        <v>EKO1603</v>
      </c>
      <c r="D504" s="35" t="str">
        <f t="shared" ca="1" si="17"/>
        <v>Ekonometrika II</v>
      </c>
      <c r="E504" s="44">
        <f ca="1">IFERROR(VLOOKUP(A504,Mentah!D:J,7,FALSE),"")</f>
        <v>2</v>
      </c>
      <c r="F504" s="44" t="str">
        <f ca="1">IFERROR(VLOOKUP(A504,Mentah!D:K,8,FALSE),"")</f>
        <v>H151</v>
      </c>
      <c r="G504" s="35" t="str">
        <f t="shared" ca="1" si="9"/>
        <v>('EKO1603','Ekonometrika II','2','H151'),</v>
      </c>
    </row>
    <row r="505" spans="1:7" ht="12.5" x14ac:dyDescent="0.25">
      <c r="A505" s="9" t="str">
        <f ca="1">IFERROR(__xludf.DUMMYFUNCTION("""COMPUTED_VALUE"""),"EKO1506 - Makroekonomi II")</f>
        <v>EKO1506 - Makroekonomi II</v>
      </c>
      <c r="B505" s="44">
        <v>504</v>
      </c>
      <c r="C505" s="35" t="str">
        <f t="shared" ca="1" si="16"/>
        <v>EKO1506</v>
      </c>
      <c r="D505" s="35" t="str">
        <f t="shared" ca="1" si="17"/>
        <v>Makroekonomi II</v>
      </c>
      <c r="E505" s="44">
        <f ca="1">IFERROR(VLOOKUP(A505,Mentah!D:J,7,FALSE),"")</f>
        <v>2</v>
      </c>
      <c r="F505" s="44" t="str">
        <f ca="1">IFERROR(VLOOKUP(A505,Mentah!D:K,8,FALSE),"")</f>
        <v>H151</v>
      </c>
      <c r="G505" s="35" t="str">
        <f t="shared" ca="1" si="9"/>
        <v>('EKO1506','Makroekonomi II','2','H151'),</v>
      </c>
    </row>
    <row r="506" spans="1:7" ht="12.5" x14ac:dyDescent="0.25">
      <c r="A506" s="9" t="str">
        <f ca="1">IFERROR(__xludf.DUMMYFUNCTION("""COMPUTED_VALUE"""),"EKO1505 - Mikroekonomi II")</f>
        <v>EKO1505 - Mikroekonomi II</v>
      </c>
      <c r="B506" s="44">
        <v>505</v>
      </c>
      <c r="C506" s="35" t="str">
        <f t="shared" ca="1" si="16"/>
        <v>EKO1505</v>
      </c>
      <c r="D506" s="35" t="str">
        <f t="shared" ca="1" si="17"/>
        <v>Mikroekonomi II</v>
      </c>
      <c r="E506" s="44">
        <f ca="1">IFERROR(VLOOKUP(A506,Mentah!D:J,7,FALSE),"")</f>
        <v>2</v>
      </c>
      <c r="F506" s="44" t="str">
        <f ca="1">IFERROR(VLOOKUP(A506,Mentah!D:K,8,FALSE),"")</f>
        <v>H151</v>
      </c>
      <c r="G506" s="35" t="str">
        <f t="shared" ca="1" si="9"/>
        <v>('EKO1505','Mikroekonomi II','2','H151'),</v>
      </c>
    </row>
    <row r="507" spans="1:7" ht="12.5" x14ac:dyDescent="0.25">
      <c r="A507" s="9" t="str">
        <f ca="1">IFERROR(__xludf.DUMMYFUNCTION("""COMPUTED_VALUE"""),"EKO1605 - Metodologi Penelitian")</f>
        <v>EKO1605 - Metodologi Penelitian</v>
      </c>
      <c r="B507" s="44">
        <v>506</v>
      </c>
      <c r="C507" s="35" t="str">
        <f t="shared" ca="1" si="16"/>
        <v>EKO1605</v>
      </c>
      <c r="D507" s="35" t="str">
        <f t="shared" ca="1" si="17"/>
        <v>Metodologi Penelitian</v>
      </c>
      <c r="E507" s="44">
        <f ca="1">IFERROR(VLOOKUP(A507,Mentah!D:J,7,FALSE),"")</f>
        <v>2</v>
      </c>
      <c r="F507" s="44" t="str">
        <f ca="1">IFERROR(VLOOKUP(A507,Mentah!D:K,8,FALSE),"")</f>
        <v>H151</v>
      </c>
      <c r="G507" s="35" t="str">
        <f t="shared" ca="1" si="9"/>
        <v>('EKO1605','Metodologi Penelitian','2','H151'),</v>
      </c>
    </row>
    <row r="508" spans="1:7" ht="12.5" x14ac:dyDescent="0.25">
      <c r="A508" s="9" t="str">
        <f ca="1">IFERROR(__xludf.DUMMYFUNCTION("""COMPUTED_VALUE"""),"MAN1524 - Komunikasi Pemasaran dan Manajemen Merk")</f>
        <v>MAN1524 - Komunikasi Pemasaran dan Manajemen Merk</v>
      </c>
      <c r="B508" s="44">
        <v>507</v>
      </c>
      <c r="C508" s="35" t="str">
        <f t="shared" ca="1" si="16"/>
        <v>MAN1524</v>
      </c>
      <c r="D508" s="35" t="str">
        <f t="shared" ca="1" si="17"/>
        <v>Komunikasi Pemasaran dan Manajemen Merk</v>
      </c>
      <c r="E508" s="44">
        <f ca="1">IFERROR(VLOOKUP(A508,Mentah!D:J,7,FALSE),"")</f>
        <v>2</v>
      </c>
      <c r="F508" s="44" t="str">
        <f ca="1">IFERROR(VLOOKUP(A508,Mentah!D:K,8,FALSE),"")</f>
        <v>H251</v>
      </c>
      <c r="G508" s="35" t="str">
        <f t="shared" ca="1" si="9"/>
        <v>('MAN1524','Komunikasi Pemasaran dan Manajemen Merk','2','H251'),</v>
      </c>
    </row>
    <row r="509" spans="1:7" ht="12.5" x14ac:dyDescent="0.25">
      <c r="A509" s="9" t="str">
        <f ca="1">IFERROR(__xludf.DUMMYFUNCTION("""COMPUTED_VALUE"""),"MAN150M - Pengambilan Keputusan Manajerial")</f>
        <v>MAN150M - Pengambilan Keputusan Manajerial</v>
      </c>
      <c r="B509" s="44">
        <v>508</v>
      </c>
      <c r="C509" s="35" t="str">
        <f t="shared" ca="1" si="16"/>
        <v>MAN150M</v>
      </c>
      <c r="D509" s="35" t="str">
        <f t="shared" ca="1" si="17"/>
        <v>Pengambilan Keputusan Manajerial</v>
      </c>
      <c r="E509" s="44">
        <f ca="1">IFERROR(VLOOKUP(A509,Mentah!D:J,7,FALSE),"")</f>
        <v>2</v>
      </c>
      <c r="F509" s="44" t="str">
        <f ca="1">IFERROR(VLOOKUP(A509,Mentah!D:K,8,FALSE),"")</f>
        <v>H251</v>
      </c>
      <c r="G509" s="35" t="str">
        <f t="shared" ca="1" si="9"/>
        <v>('MAN150M','Pengambilan Keputusan Manajerial','2','H251'),</v>
      </c>
    </row>
    <row r="510" spans="1:7" ht="12.5" x14ac:dyDescent="0.25">
      <c r="A510" s="9" t="str">
        <f ca="1">IFERROR(__xludf.DUMMYFUNCTION("""COMPUTED_VALUE"""),"MAN1526 - Perilaku Pelanggan")</f>
        <v>MAN1526 - Perilaku Pelanggan</v>
      </c>
      <c r="B510" s="44">
        <v>509</v>
      </c>
      <c r="C510" s="35" t="str">
        <f t="shared" ca="1" si="16"/>
        <v>MAN1526</v>
      </c>
      <c r="D510" s="35" t="str">
        <f t="shared" ca="1" si="17"/>
        <v>Perilaku Pelanggan</v>
      </c>
      <c r="E510" s="44">
        <f ca="1">IFERROR(VLOOKUP(A510,Mentah!D:J,7,FALSE),"")</f>
        <v>2</v>
      </c>
      <c r="F510" s="44" t="str">
        <f ca="1">IFERROR(VLOOKUP(A510,Mentah!D:K,8,FALSE),"")</f>
        <v>H251</v>
      </c>
      <c r="G510" s="35" t="str">
        <f t="shared" ca="1" si="9"/>
        <v>('MAN1526','Perilaku Pelanggan','2','H251'),</v>
      </c>
    </row>
    <row r="511" spans="1:7" ht="12.5" x14ac:dyDescent="0.25">
      <c r="A511" s="9" t="str">
        <f ca="1">IFERROR(__xludf.DUMMYFUNCTION("""COMPUTED_VALUE"""),"MAN160N - Kapita Selekta / Enrichment Course")</f>
        <v>MAN160N - Kapita Selekta / Enrichment Course</v>
      </c>
      <c r="B511" s="44">
        <v>510</v>
      </c>
      <c r="C511" s="35" t="str">
        <f t="shared" ca="1" si="16"/>
        <v>MAN160N</v>
      </c>
      <c r="D511" s="35" t="str">
        <f t="shared" ca="1" si="17"/>
        <v>Kapita Selekta / Enrichment Course</v>
      </c>
      <c r="E511" s="44">
        <f ca="1">IFERROR(VLOOKUP(A511,Mentah!D:J,7,FALSE),"")</f>
        <v>4</v>
      </c>
      <c r="F511" s="44" t="str">
        <f ca="1">IFERROR(VLOOKUP(A511,Mentah!D:K,8,FALSE),"")</f>
        <v>H251</v>
      </c>
      <c r="G511" s="35" t="str">
        <f t="shared" ca="1" si="9"/>
        <v>('MAN160N','Kapita Selekta / Enrichment Course','4','H251'),</v>
      </c>
    </row>
    <row r="512" spans="1:7" ht="12.5" x14ac:dyDescent="0.25">
      <c r="A512" s="9" t="str">
        <f ca="1">IFERROR(__xludf.DUMMYFUNCTION("""COMPUTED_VALUE"""),"MAN1543 - Strategi dan Pengembangan SDM")</f>
        <v>MAN1543 - Strategi dan Pengembangan SDM</v>
      </c>
      <c r="B512" s="44">
        <v>511</v>
      </c>
      <c r="C512" s="35" t="str">
        <f t="shared" ca="1" si="16"/>
        <v>MAN1543</v>
      </c>
      <c r="D512" s="35" t="str">
        <f t="shared" ca="1" si="17"/>
        <v>Strategi dan Pengembangan SDM</v>
      </c>
      <c r="E512" s="44">
        <f ca="1">IFERROR(VLOOKUP(A512,Mentah!D:J,7,FALSE),"")</f>
        <v>2</v>
      </c>
      <c r="F512" s="44" t="str">
        <f ca="1">IFERROR(VLOOKUP(A512,Mentah!D:K,8,FALSE),"")</f>
        <v>H251</v>
      </c>
      <c r="G512" s="35" t="str">
        <f t="shared" ref="G512:G668" ca="1" si="18">CONCATENATE("('",C512,"','",D512,"','",E512,"','",F512,"'),")</f>
        <v>('MAN1543','Strategi dan Pengembangan SDM','2','H251'),</v>
      </c>
    </row>
    <row r="513" spans="1:7" ht="12.5" x14ac:dyDescent="0.25">
      <c r="A513" s="9" t="str">
        <f ca="1">IFERROR(__xludf.DUMMYFUNCTION("""COMPUTED_VALUE"""),"MAN1554 - Manajemen Produk dan Harga")</f>
        <v>MAN1554 - Manajemen Produk dan Harga</v>
      </c>
      <c r="B513" s="44">
        <v>512</v>
      </c>
      <c r="C513" s="35" t="str">
        <f t="shared" ca="1" si="16"/>
        <v>MAN1554</v>
      </c>
      <c r="D513" s="35" t="str">
        <f t="shared" ca="1" si="17"/>
        <v>Manajemen Produk dan Harga</v>
      </c>
      <c r="E513" s="44">
        <f ca="1">IFERROR(VLOOKUP(A513,Mentah!D:J,7,FALSE),"")</f>
        <v>2</v>
      </c>
      <c r="F513" s="44" t="str">
        <f ca="1">IFERROR(VLOOKUP(A513,Mentah!D:K,8,FALSE),"")</f>
        <v>H251</v>
      </c>
      <c r="G513" s="35" t="str">
        <f t="shared" ca="1" si="18"/>
        <v>('MAN1554','Manajemen Produk dan Harga','2','H251'),</v>
      </c>
    </row>
    <row r="514" spans="1:7" ht="12.5" x14ac:dyDescent="0.25">
      <c r="A514" s="9" t="str">
        <f ca="1">IFERROR(__xludf.DUMMYFUNCTION("""COMPUTED_VALUE"""),"MAN1516 - Keuangan dan Tatakelola Korporasi")</f>
        <v>MAN1516 - Keuangan dan Tatakelola Korporasi</v>
      </c>
      <c r="B514" s="44">
        <v>513</v>
      </c>
      <c r="C514" s="35" t="str">
        <f t="shared" ref="C514:C577" ca="1" si="19">IFERROR(LEFT(A514,7),"")</f>
        <v>MAN1516</v>
      </c>
      <c r="D514" s="35" t="str">
        <f t="shared" ref="D514:D577" ca="1" si="20">IFERROR(MID(A514,11,99),"")</f>
        <v>Keuangan dan Tatakelola Korporasi</v>
      </c>
      <c r="E514" s="44">
        <f ca="1">IFERROR(VLOOKUP(A514,Mentah!D:J,7,FALSE),"")</f>
        <v>2</v>
      </c>
      <c r="F514" s="44" t="str">
        <f ca="1">IFERROR(VLOOKUP(A514,Mentah!D:K,8,FALSE),"")</f>
        <v>H251</v>
      </c>
      <c r="G514" s="35" t="str">
        <f t="shared" ca="1" si="18"/>
        <v>('MAN1516','Keuangan dan Tatakelola Korporasi','2','H251'),</v>
      </c>
    </row>
    <row r="515" spans="1:7" ht="12.5" x14ac:dyDescent="0.25">
      <c r="A515" s="9" t="str">
        <f ca="1">IFERROR(__xludf.DUMMYFUNCTION("""COMPUTED_VALUE"""),"MAN1525 - Strategi Distribusi dan Ritel")</f>
        <v>MAN1525 - Strategi Distribusi dan Ritel</v>
      </c>
      <c r="B515" s="44">
        <v>514</v>
      </c>
      <c r="C515" s="35" t="str">
        <f t="shared" ca="1" si="19"/>
        <v>MAN1525</v>
      </c>
      <c r="D515" s="35" t="str">
        <f t="shared" ca="1" si="20"/>
        <v>Strategi Distribusi dan Ritel</v>
      </c>
      <c r="E515" s="44">
        <f ca="1">IFERROR(VLOOKUP(A515,Mentah!D:J,7,FALSE),"")</f>
        <v>2</v>
      </c>
      <c r="F515" s="44" t="str">
        <f ca="1">IFERROR(VLOOKUP(A515,Mentah!D:K,8,FALSE),"")</f>
        <v>H251</v>
      </c>
      <c r="G515" s="35" t="str">
        <f t="shared" ca="1" si="18"/>
        <v>('MAN1525','Strategi Distribusi dan Ritel','2','H251'),</v>
      </c>
    </row>
    <row r="516" spans="1:7" ht="12.5" x14ac:dyDescent="0.25">
      <c r="A516" s="9" t="str">
        <f ca="1">IFERROR(__xludf.DUMMYFUNCTION("""COMPUTED_VALUE"""),"MAN1517 - Manajemen Investasi dan Portofolio")</f>
        <v>MAN1517 - Manajemen Investasi dan Portofolio</v>
      </c>
      <c r="B516" s="44">
        <v>515</v>
      </c>
      <c r="C516" s="35" t="str">
        <f t="shared" ca="1" si="19"/>
        <v>MAN1517</v>
      </c>
      <c r="D516" s="35" t="str">
        <f t="shared" ca="1" si="20"/>
        <v>Manajemen Investasi dan Portofolio</v>
      </c>
      <c r="E516" s="44">
        <f ca="1">IFERROR(VLOOKUP(A516,Mentah!D:J,7,FALSE),"")</f>
        <v>2</v>
      </c>
      <c r="F516" s="44" t="str">
        <f ca="1">IFERROR(VLOOKUP(A516,Mentah!D:K,8,FALSE),"")</f>
        <v>H251</v>
      </c>
      <c r="G516" s="35" t="str">
        <f t="shared" ca="1" si="18"/>
        <v>('MAN1517','Manajemen Investasi dan Portofolio','2','H251'),</v>
      </c>
    </row>
    <row r="517" spans="1:7" ht="12.5" x14ac:dyDescent="0.25">
      <c r="A517" s="9" t="str">
        <f ca="1">IFERROR(__xludf.DUMMYFUNCTION("""COMPUTED_VALUE"""),"MAN1544 - Manajemen Kinerja SDM")</f>
        <v>MAN1544 - Manajemen Kinerja SDM</v>
      </c>
      <c r="B517" s="44">
        <v>516</v>
      </c>
      <c r="C517" s="35" t="str">
        <f t="shared" ca="1" si="19"/>
        <v>MAN1544</v>
      </c>
      <c r="D517" s="35" t="str">
        <f t="shared" ca="1" si="20"/>
        <v>Manajemen Kinerja SDM</v>
      </c>
      <c r="E517" s="44">
        <f ca="1">IFERROR(VLOOKUP(A517,Mentah!D:J,7,FALSE),"")</f>
        <v>2</v>
      </c>
      <c r="F517" s="44" t="str">
        <f ca="1">IFERROR(VLOOKUP(A517,Mentah!D:K,8,FALSE),"")</f>
        <v>H251</v>
      </c>
      <c r="G517" s="35" t="str">
        <f t="shared" ca="1" si="18"/>
        <v>('MAN1544','Manajemen Kinerja SDM','2','H251'),</v>
      </c>
    </row>
    <row r="518" spans="1:7" ht="12.5" x14ac:dyDescent="0.25">
      <c r="A518" s="9" t="str">
        <f ca="1">IFERROR(__xludf.DUMMYFUNCTION("""COMPUTED_VALUE"""),"MAN1545 - Manajemen Pengetahuan")</f>
        <v>MAN1545 - Manajemen Pengetahuan</v>
      </c>
      <c r="B518" s="44">
        <v>517</v>
      </c>
      <c r="C518" s="35" t="str">
        <f t="shared" ca="1" si="19"/>
        <v>MAN1545</v>
      </c>
      <c r="D518" s="35" t="str">
        <f t="shared" ca="1" si="20"/>
        <v>Manajemen Pengetahuan</v>
      </c>
      <c r="E518" s="44">
        <f ca="1">IFERROR(VLOOKUP(A518,Mentah!D:J,7,FALSE),"")</f>
        <v>2</v>
      </c>
      <c r="F518" s="44" t="str">
        <f ca="1">IFERROR(VLOOKUP(A518,Mentah!D:K,8,FALSE),"")</f>
        <v>H251</v>
      </c>
      <c r="G518" s="35" t="str">
        <f t="shared" ca="1" si="18"/>
        <v>('MAN1545','Manajemen Pengetahuan','2','H251'),</v>
      </c>
    </row>
    <row r="519" spans="1:7" ht="12.5" x14ac:dyDescent="0.25">
      <c r="A519" s="9" t="str">
        <f ca="1">IFERROR(__xludf.DUMMYFUNCTION("""COMPUTED_VALUE"""),"MAN1552 - Rantai Pasok dan Operasi Digital")</f>
        <v>MAN1552 - Rantai Pasok dan Operasi Digital</v>
      </c>
      <c r="B519" s="44">
        <v>518</v>
      </c>
      <c r="C519" s="35" t="str">
        <f t="shared" ca="1" si="19"/>
        <v>MAN1552</v>
      </c>
      <c r="D519" s="35" t="str">
        <f t="shared" ca="1" si="20"/>
        <v>Rantai Pasok dan Operasi Digital</v>
      </c>
      <c r="E519" s="44">
        <f ca="1">IFERROR(VLOOKUP(A519,Mentah!D:J,7,FALSE),"")</f>
        <v>2</v>
      </c>
      <c r="F519" s="44" t="str">
        <f ca="1">IFERROR(VLOOKUP(A519,Mentah!D:K,8,FALSE),"")</f>
        <v>H251</v>
      </c>
      <c r="G519" s="35" t="str">
        <f t="shared" ca="1" si="18"/>
        <v>('MAN1552','Rantai Pasok dan Operasi Digital','2','H251'),</v>
      </c>
    </row>
    <row r="520" spans="1:7" ht="12.5" x14ac:dyDescent="0.25">
      <c r="A520" s="9" t="str">
        <f ca="1">IFERROR(__xludf.DUMMYFUNCTION("""COMPUTED_VALUE"""),"MAN1546 - Manajemen Perubahan Organisasi dan Inovasi")</f>
        <v>MAN1546 - Manajemen Perubahan Organisasi dan Inovasi</v>
      </c>
      <c r="B520" s="44">
        <v>519</v>
      </c>
      <c r="C520" s="35" t="str">
        <f t="shared" ca="1" si="19"/>
        <v>MAN1546</v>
      </c>
      <c r="D520" s="35" t="str">
        <f t="shared" ca="1" si="20"/>
        <v>Manajemen Perubahan Organisasi dan Inovasi</v>
      </c>
      <c r="E520" s="44">
        <f ca="1">IFERROR(VLOOKUP(A520,Mentah!D:J,7,FALSE),"")</f>
        <v>2</v>
      </c>
      <c r="F520" s="44" t="str">
        <f ca="1">IFERROR(VLOOKUP(A520,Mentah!D:K,8,FALSE),"")</f>
        <v>H251</v>
      </c>
      <c r="G520" s="35" t="str">
        <f t="shared" ca="1" si="18"/>
        <v>('MAN1546','Manajemen Perubahan Organisasi dan Inovasi','2','H251'),</v>
      </c>
    </row>
    <row r="521" spans="1:7" ht="12.5" x14ac:dyDescent="0.25">
      <c r="A521" s="9" t="str">
        <f ca="1">IFERROR(__xludf.DUMMYFUNCTION("""COMPUTED_VALUE"""),"MAN1551 - Pemasaran Digital")</f>
        <v>MAN1551 - Pemasaran Digital</v>
      </c>
      <c r="B521" s="44">
        <v>520</v>
      </c>
      <c r="C521" s="35" t="str">
        <f t="shared" ca="1" si="19"/>
        <v>MAN1551</v>
      </c>
      <c r="D521" s="35" t="str">
        <f t="shared" ca="1" si="20"/>
        <v>Pemasaran Digital</v>
      </c>
      <c r="E521" s="44">
        <f ca="1">IFERROR(VLOOKUP(A521,Mentah!D:J,7,FALSE),"")</f>
        <v>2</v>
      </c>
      <c r="F521" s="44" t="str">
        <f ca="1">IFERROR(VLOOKUP(A521,Mentah!D:K,8,FALSE),"")</f>
        <v>H251</v>
      </c>
      <c r="G521" s="35" t="str">
        <f t="shared" ca="1" si="18"/>
        <v>('MAN1551','Pemasaran Digital','2','H251'),</v>
      </c>
    </row>
    <row r="522" spans="1:7" ht="12.5" x14ac:dyDescent="0.25">
      <c r="A522" s="9" t="str">
        <f ca="1">IFERROR(__xludf.DUMMYFUNCTION("""COMPUTED_VALUE"""),"MAN1535 - Manajemen Rantai Pasok dan Logistik")</f>
        <v>MAN1535 - Manajemen Rantai Pasok dan Logistik</v>
      </c>
      <c r="B522" s="44">
        <v>521</v>
      </c>
      <c r="C522" s="35" t="str">
        <f t="shared" ca="1" si="19"/>
        <v>MAN1535</v>
      </c>
      <c r="D522" s="35" t="str">
        <f t="shared" ca="1" si="20"/>
        <v>Manajemen Rantai Pasok dan Logistik</v>
      </c>
      <c r="E522" s="44">
        <f ca="1">IFERROR(VLOOKUP(A522,Mentah!D:J,7,FALSE),"")</f>
        <v>2</v>
      </c>
      <c r="F522" s="44" t="str">
        <f ca="1">IFERROR(VLOOKUP(A522,Mentah!D:K,8,FALSE),"")</f>
        <v>H251</v>
      </c>
      <c r="G522" s="35" t="str">
        <f t="shared" ca="1" si="18"/>
        <v>('MAN1535','Manajemen Rantai Pasok dan Logistik','2','H251'),</v>
      </c>
    </row>
    <row r="523" spans="1:7" ht="12.5" x14ac:dyDescent="0.25">
      <c r="A523" s="9" t="str">
        <f ca="1">IFERROR(__xludf.DUMMYFUNCTION("""COMPUTED_VALUE"""),"MAN1527 - Pemasaran Strategik")</f>
        <v>MAN1527 - Pemasaran Strategik</v>
      </c>
      <c r="B523" s="44">
        <v>522</v>
      </c>
      <c r="C523" s="35" t="str">
        <f t="shared" ca="1" si="19"/>
        <v>MAN1527</v>
      </c>
      <c r="D523" s="35" t="str">
        <f t="shared" ca="1" si="20"/>
        <v>Pemasaran Strategik</v>
      </c>
      <c r="E523" s="44">
        <f ca="1">IFERROR(VLOOKUP(A523,Mentah!D:J,7,FALSE),"")</f>
        <v>2</v>
      </c>
      <c r="F523" s="44" t="str">
        <f ca="1">IFERROR(VLOOKUP(A523,Mentah!D:K,8,FALSE),"")</f>
        <v>H251</v>
      </c>
      <c r="G523" s="35" t="str">
        <f t="shared" ca="1" si="18"/>
        <v>('MAN1527','Pemasaran Strategik','2','H251'),</v>
      </c>
    </row>
    <row r="524" spans="1:7" ht="12.5" x14ac:dyDescent="0.25">
      <c r="A524" s="9" t="str">
        <f ca="1">IFERROR(__xludf.DUMMYFUNCTION("""COMPUTED_VALUE"""),"MAN1536 - Manajemen Proyek Terpadu")</f>
        <v>MAN1536 - Manajemen Proyek Terpadu</v>
      </c>
      <c r="B524" s="44">
        <v>523</v>
      </c>
      <c r="C524" s="35" t="str">
        <f t="shared" ca="1" si="19"/>
        <v>MAN1536</v>
      </c>
      <c r="D524" s="35" t="str">
        <f t="shared" ca="1" si="20"/>
        <v>Manajemen Proyek Terpadu</v>
      </c>
      <c r="E524" s="44">
        <f ca="1">IFERROR(VLOOKUP(A524,Mentah!D:J,7,FALSE),"")</f>
        <v>2</v>
      </c>
      <c r="F524" s="44" t="str">
        <f ca="1">IFERROR(VLOOKUP(A524,Mentah!D:K,8,FALSE),"")</f>
        <v>H251</v>
      </c>
      <c r="G524" s="35" t="str">
        <f t="shared" ca="1" si="18"/>
        <v>('MAN1536','Manajemen Proyek Terpadu','2','H251'),</v>
      </c>
    </row>
    <row r="525" spans="1:7" ht="12.5" x14ac:dyDescent="0.25">
      <c r="A525" s="9" t="str">
        <f ca="1">IFERROR(__xludf.DUMMYFUNCTION("""COMPUTED_VALUE"""),"MAN1515 - Keuangan dan Perbankan Digital")</f>
        <v>MAN1515 - Keuangan dan Perbankan Digital</v>
      </c>
      <c r="B525" s="44">
        <v>524</v>
      </c>
      <c r="C525" s="35" t="str">
        <f t="shared" ca="1" si="19"/>
        <v>MAN1515</v>
      </c>
      <c r="D525" s="35" t="str">
        <f t="shared" ca="1" si="20"/>
        <v>Keuangan dan Perbankan Digital</v>
      </c>
      <c r="E525" s="44">
        <f ca="1">IFERROR(VLOOKUP(A525,Mentah!D:J,7,FALSE),"")</f>
        <v>2</v>
      </c>
      <c r="F525" s="44" t="str">
        <f ca="1">IFERROR(VLOOKUP(A525,Mentah!D:K,8,FALSE),"")</f>
        <v>H251</v>
      </c>
      <c r="G525" s="35" t="str">
        <f t="shared" ca="1" si="18"/>
        <v>('MAN1515','Keuangan dan Perbankan Digital','2','H251'),</v>
      </c>
    </row>
    <row r="526" spans="1:7" ht="12.5" x14ac:dyDescent="0.25">
      <c r="A526" s="9" t="str">
        <f ca="1">IFERROR(__xludf.DUMMYFUNCTION("""COMPUTED_VALUE"""),"MAN1533 - Manajemen Operasi")</f>
        <v>MAN1533 - Manajemen Operasi</v>
      </c>
      <c r="B526" s="44">
        <v>525</v>
      </c>
      <c r="C526" s="35" t="str">
        <f t="shared" ca="1" si="19"/>
        <v>MAN1533</v>
      </c>
      <c r="D526" s="35" t="str">
        <f t="shared" ca="1" si="20"/>
        <v>Manajemen Operasi</v>
      </c>
      <c r="E526" s="44">
        <f ca="1">IFERROR(VLOOKUP(A526,Mentah!D:J,7,FALSE),"")</f>
        <v>2</v>
      </c>
      <c r="F526" s="44" t="str">
        <f ca="1">IFERROR(VLOOKUP(A526,Mentah!D:K,8,FALSE),"")</f>
        <v>H251</v>
      </c>
      <c r="G526" s="35" t="str">
        <f t="shared" ca="1" si="18"/>
        <v>('MAN1533','Manajemen Operasi','2','H251'),</v>
      </c>
    </row>
    <row r="527" spans="1:7" ht="12.5" x14ac:dyDescent="0.25">
      <c r="A527" s="9" t="str">
        <f ca="1">IFERROR(__xludf.DUMMYFUNCTION("""COMPUTED_VALUE"""),"MAN1553 - Manajemen Inovasi dan Digital")</f>
        <v>MAN1553 - Manajemen Inovasi dan Digital</v>
      </c>
      <c r="B527" s="44">
        <v>526</v>
      </c>
      <c r="C527" s="35" t="str">
        <f t="shared" ca="1" si="19"/>
        <v>MAN1553</v>
      </c>
      <c r="D527" s="35" t="str">
        <f t="shared" ca="1" si="20"/>
        <v>Manajemen Inovasi dan Digital</v>
      </c>
      <c r="E527" s="44">
        <f ca="1">IFERROR(VLOOKUP(A527,Mentah!D:J,7,FALSE),"")</f>
        <v>2</v>
      </c>
      <c r="F527" s="44" t="str">
        <f ca="1">IFERROR(VLOOKUP(A527,Mentah!D:K,8,FALSE),"")</f>
        <v>H251</v>
      </c>
      <c r="G527" s="35" t="str">
        <f t="shared" ca="1" si="18"/>
        <v>('MAN1553','Manajemen Inovasi dan Digital','2','H251'),</v>
      </c>
    </row>
    <row r="528" spans="1:7" ht="12.5" x14ac:dyDescent="0.25">
      <c r="A528" s="9" t="str">
        <f ca="1">IFERROR(__xludf.DUMMYFUNCTION("""COMPUTED_VALUE"""),"MAN1518 - Manajemen Risiko Keuangan")</f>
        <v>MAN1518 - Manajemen Risiko Keuangan</v>
      </c>
      <c r="B528" s="44">
        <v>527</v>
      </c>
      <c r="C528" s="35" t="str">
        <f t="shared" ca="1" si="19"/>
        <v>MAN1518</v>
      </c>
      <c r="D528" s="35" t="str">
        <f t="shared" ca="1" si="20"/>
        <v>Manajemen Risiko Keuangan</v>
      </c>
      <c r="E528" s="44">
        <f ca="1">IFERROR(VLOOKUP(A528,Mentah!D:J,7,FALSE),"")</f>
        <v>2</v>
      </c>
      <c r="F528" s="44" t="str">
        <f ca="1">IFERROR(VLOOKUP(A528,Mentah!D:K,8,FALSE),"")</f>
        <v>H251</v>
      </c>
      <c r="G528" s="35" t="str">
        <f t="shared" ca="1" si="18"/>
        <v>('MAN1518','Manajemen Risiko Keuangan','2','H251'),</v>
      </c>
    </row>
    <row r="529" spans="1:7" ht="12.5" x14ac:dyDescent="0.25">
      <c r="A529" s="9" t="str">
        <f ca="1">IFERROR(__xludf.DUMMYFUNCTION("""COMPUTED_VALUE"""),"MAN1534 - Manajemen Mutu dan Inovasi")</f>
        <v>MAN1534 - Manajemen Mutu dan Inovasi</v>
      </c>
      <c r="B529" s="44">
        <v>528</v>
      </c>
      <c r="C529" s="35" t="str">
        <f t="shared" ca="1" si="19"/>
        <v>MAN1534</v>
      </c>
      <c r="D529" s="35" t="str">
        <f t="shared" ca="1" si="20"/>
        <v>Manajemen Mutu dan Inovasi</v>
      </c>
      <c r="E529" s="44">
        <f ca="1">IFERROR(VLOOKUP(A529,Mentah!D:J,7,FALSE),"")</f>
        <v>2</v>
      </c>
      <c r="F529" s="44" t="str">
        <f ca="1">IFERROR(VLOOKUP(A529,Mentah!D:K,8,FALSE),"")</f>
        <v>H251</v>
      </c>
      <c r="G529" s="35" t="str">
        <f t="shared" ca="1" si="18"/>
        <v>('MAN1534','Manajemen Mutu dan Inovasi','2','H251'),</v>
      </c>
    </row>
    <row r="530" spans="1:7" ht="12.5" x14ac:dyDescent="0.25">
      <c r="A530" s="9" t="str">
        <f ca="1">IFERROR(__xludf.DUMMYFUNCTION("""COMPUTED_VALUE"""),"AGB1503 - Metodologi Penelitian Agribisnis")</f>
        <v>AGB1503 - Metodologi Penelitian Agribisnis</v>
      </c>
      <c r="B530" s="44">
        <v>529</v>
      </c>
      <c r="C530" s="35" t="str">
        <f t="shared" ca="1" si="19"/>
        <v>AGB1503</v>
      </c>
      <c r="D530" s="35" t="str">
        <f t="shared" ca="1" si="20"/>
        <v>Metodologi Penelitian Agribisnis</v>
      </c>
      <c r="E530" s="44">
        <f ca="1">IFERROR(VLOOKUP(A530,Mentah!D:J,7,FALSE),"")</f>
        <v>2</v>
      </c>
      <c r="F530" s="44" t="str">
        <f ca="1">IFERROR(VLOOKUP(A530,Mentah!D:K,8,FALSE),"")</f>
        <v>H351</v>
      </c>
      <c r="G530" s="35" t="str">
        <f t="shared" ca="1" si="18"/>
        <v>('AGB1503','Metodologi Penelitian Agribisnis','2','H351'),</v>
      </c>
    </row>
    <row r="531" spans="1:7" ht="12.5" x14ac:dyDescent="0.25">
      <c r="A531" s="9" t="str">
        <f ca="1">IFERROR(__xludf.DUMMYFUNCTION("""COMPUTED_VALUE"""),"AGB1622 - Kewirausahaan Agribisnis Tropika")</f>
        <v>AGB1622 - Kewirausahaan Agribisnis Tropika</v>
      </c>
      <c r="B531" s="44">
        <v>530</v>
      </c>
      <c r="C531" s="35" t="str">
        <f t="shared" ca="1" si="19"/>
        <v>AGB1622</v>
      </c>
      <c r="D531" s="35" t="str">
        <f t="shared" ca="1" si="20"/>
        <v>Kewirausahaan Agribisnis Tropika</v>
      </c>
      <c r="E531" s="44">
        <f ca="1">IFERROR(VLOOKUP(A531,Mentah!D:J,7,FALSE),"")</f>
        <v>2</v>
      </c>
      <c r="F531" s="44" t="str">
        <f ca="1">IFERROR(VLOOKUP(A531,Mentah!D:K,8,FALSE),"")</f>
        <v>H351</v>
      </c>
      <c r="G531" s="35" t="str">
        <f t="shared" ca="1" si="18"/>
        <v>('AGB1622','Kewirausahaan Agribisnis Tropika','2','H351'),</v>
      </c>
    </row>
    <row r="532" spans="1:7" ht="12.5" x14ac:dyDescent="0.25">
      <c r="A532" s="9" t="str">
        <f ca="1">IFERROR(__xludf.DUMMYFUNCTION("""COMPUTED_VALUE"""),"AGB1504 - Metode Kuantitatif untuk Agribisnis")</f>
        <v>AGB1504 - Metode Kuantitatif untuk Agribisnis</v>
      </c>
      <c r="B532" s="44">
        <v>531</v>
      </c>
      <c r="C532" s="35" t="str">
        <f t="shared" ca="1" si="19"/>
        <v>AGB1504</v>
      </c>
      <c r="D532" s="35" t="str">
        <f t="shared" ca="1" si="20"/>
        <v>Metode Kuantitatif untuk Agribisnis</v>
      </c>
      <c r="E532" s="44">
        <f ca="1">IFERROR(VLOOKUP(A532,Mentah!D:J,7,FALSE),"")</f>
        <v>2</v>
      </c>
      <c r="F532" s="44" t="str">
        <f ca="1">IFERROR(VLOOKUP(A532,Mentah!D:K,8,FALSE),"")</f>
        <v>H351</v>
      </c>
      <c r="G532" s="35" t="str">
        <f t="shared" ca="1" si="18"/>
        <v>('AGB1504','Metode Kuantitatif untuk Agribisnis','2','H351'),</v>
      </c>
    </row>
    <row r="533" spans="1:7" ht="12.5" x14ac:dyDescent="0.25">
      <c r="A533" s="9" t="str">
        <f ca="1">IFERROR(__xludf.DUMMYFUNCTION("""COMPUTED_VALUE"""),"AGB1517 - Makroekonomi untuk Agribisnis")</f>
        <v>AGB1517 - Makroekonomi untuk Agribisnis</v>
      </c>
      <c r="B533" s="44">
        <v>532</v>
      </c>
      <c r="C533" s="35" t="str">
        <f t="shared" ca="1" si="19"/>
        <v>AGB1517</v>
      </c>
      <c r="D533" s="35" t="str">
        <f t="shared" ca="1" si="20"/>
        <v>Makroekonomi untuk Agribisnis</v>
      </c>
      <c r="E533" s="44">
        <f ca="1">IFERROR(VLOOKUP(A533,Mentah!D:J,7,FALSE),"")</f>
        <v>2</v>
      </c>
      <c r="F533" s="44" t="str">
        <f ca="1">IFERROR(VLOOKUP(A533,Mentah!D:K,8,FALSE),"")</f>
        <v>H351</v>
      </c>
      <c r="G533" s="35" t="str">
        <f t="shared" ca="1" si="18"/>
        <v>('AGB1517','Makroekonomi untuk Agribisnis','2','H351'),</v>
      </c>
    </row>
    <row r="534" spans="1:7" ht="12.5" x14ac:dyDescent="0.25">
      <c r="A534" s="9" t="str">
        <f ca="1">IFERROR(__xludf.DUMMYFUNCTION("""COMPUTED_VALUE"""),"AGB1635 - Rantai Pasok Agribisnis")</f>
        <v>AGB1635 - Rantai Pasok Agribisnis</v>
      </c>
      <c r="B534" s="44">
        <v>533</v>
      </c>
      <c r="C534" s="35" t="str">
        <f t="shared" ca="1" si="19"/>
        <v>AGB1635</v>
      </c>
      <c r="D534" s="35" t="str">
        <f t="shared" ca="1" si="20"/>
        <v>Rantai Pasok Agribisnis</v>
      </c>
      <c r="E534" s="44">
        <f ca="1">IFERROR(VLOOKUP(A534,Mentah!D:J,7,FALSE),"")</f>
        <v>2</v>
      </c>
      <c r="F534" s="44" t="str">
        <f ca="1">IFERROR(VLOOKUP(A534,Mentah!D:K,8,FALSE),"")</f>
        <v>H351</v>
      </c>
      <c r="G534" s="35" t="str">
        <f t="shared" ca="1" si="18"/>
        <v>('AGB1635','Rantai Pasok Agribisnis','2','H351'),</v>
      </c>
    </row>
    <row r="535" spans="1:7" ht="12.5" x14ac:dyDescent="0.25">
      <c r="A535" s="9" t="str">
        <f ca="1">IFERROR(__xludf.DUMMYFUNCTION("""COMPUTED_VALUE"""),"AGB1615 - Struktur Industri Agribisnis")</f>
        <v>AGB1615 - Struktur Industri Agribisnis</v>
      </c>
      <c r="B535" s="44">
        <v>534</v>
      </c>
      <c r="C535" s="35" t="str">
        <f t="shared" ca="1" si="19"/>
        <v>AGB1615</v>
      </c>
      <c r="D535" s="35" t="str">
        <f t="shared" ca="1" si="20"/>
        <v>Struktur Industri Agribisnis</v>
      </c>
      <c r="E535" s="44">
        <f ca="1">IFERROR(VLOOKUP(A535,Mentah!D:J,7,FALSE),"")</f>
        <v>2</v>
      </c>
      <c r="F535" s="44" t="str">
        <f ca="1">IFERROR(VLOOKUP(A535,Mentah!D:K,8,FALSE),"")</f>
        <v>H351</v>
      </c>
      <c r="G535" s="35" t="str">
        <f t="shared" ca="1" si="18"/>
        <v>('AGB1615','Struktur Industri Agribisnis','2','H351'),</v>
      </c>
    </row>
    <row r="536" spans="1:7" ht="12.5" x14ac:dyDescent="0.25">
      <c r="A536" s="9" t="str">
        <f ca="1">IFERROR(__xludf.DUMMYFUNCTION("""COMPUTED_VALUE"""),"AGB1612 - Perencanaan dan Evaluasi Agribisnis")</f>
        <v>AGB1612 - Perencanaan dan Evaluasi Agribisnis</v>
      </c>
      <c r="B536" s="44">
        <v>535</v>
      </c>
      <c r="C536" s="35" t="str">
        <f t="shared" ca="1" si="19"/>
        <v>AGB1612</v>
      </c>
      <c r="D536" s="35" t="str">
        <f t="shared" ca="1" si="20"/>
        <v>Perencanaan dan Evaluasi Agribisnis</v>
      </c>
      <c r="E536" s="44">
        <f ca="1">IFERROR(VLOOKUP(A536,Mentah!D:J,7,FALSE),"")</f>
        <v>2</v>
      </c>
      <c r="F536" s="44" t="str">
        <f ca="1">IFERROR(VLOOKUP(A536,Mentah!D:K,8,FALSE),"")</f>
        <v>H351</v>
      </c>
      <c r="G536" s="35" t="str">
        <f t="shared" ca="1" si="18"/>
        <v>('AGB1612','Perencanaan dan Evaluasi Agribisnis','2','H351'),</v>
      </c>
    </row>
    <row r="537" spans="1:7" ht="12.5" x14ac:dyDescent="0.25">
      <c r="A537" s="9" t="str">
        <f ca="1">IFERROR(__xludf.DUMMYFUNCTION("""COMPUTED_VALUE"""),"AGB1523 - Kewirausahaan dan Inovasi")</f>
        <v>AGB1523 - Kewirausahaan dan Inovasi</v>
      </c>
      <c r="B537" s="44">
        <v>536</v>
      </c>
      <c r="C537" s="35" t="str">
        <f t="shared" ca="1" si="19"/>
        <v>AGB1523</v>
      </c>
      <c r="D537" s="35" t="str">
        <f t="shared" ca="1" si="20"/>
        <v>Kewirausahaan dan Inovasi</v>
      </c>
      <c r="E537" s="44">
        <f ca="1">IFERROR(VLOOKUP(A537,Mentah!D:J,7,FALSE),"")</f>
        <v>2</v>
      </c>
      <c r="F537" s="44" t="str">
        <f ca="1">IFERROR(VLOOKUP(A537,Mentah!D:K,8,FALSE),"")</f>
        <v>H351</v>
      </c>
      <c r="G537" s="35" t="str">
        <f t="shared" ca="1" si="18"/>
        <v>('AGB1523','Kewirausahaan dan Inovasi','2','H351'),</v>
      </c>
    </row>
    <row r="538" spans="1:7" ht="12.5" x14ac:dyDescent="0.25">
      <c r="A538" s="9" t="str">
        <f ca="1">IFERROR(__xludf.DUMMYFUNCTION("""COMPUTED_VALUE"""),"AGB1632 - Kebijakan Agribisnis")</f>
        <v>AGB1632 - Kebijakan Agribisnis</v>
      </c>
      <c r="B538" s="44">
        <v>537</v>
      </c>
      <c r="C538" s="35" t="str">
        <f t="shared" ca="1" si="19"/>
        <v>AGB1632</v>
      </c>
      <c r="D538" s="35" t="str">
        <f t="shared" ca="1" si="20"/>
        <v>Kebijakan Agribisnis</v>
      </c>
      <c r="E538" s="44">
        <f ca="1">IFERROR(VLOOKUP(A538,Mentah!D:J,7,FALSE),"")</f>
        <v>2</v>
      </c>
      <c r="F538" s="44" t="str">
        <f ca="1">IFERROR(VLOOKUP(A538,Mentah!D:K,8,FALSE),"")</f>
        <v>H351</v>
      </c>
      <c r="G538" s="35" t="str">
        <f t="shared" ca="1" si="18"/>
        <v>('AGB1632','Kebijakan Agribisnis','2','H351'),</v>
      </c>
    </row>
    <row r="539" spans="1:7" ht="12.5" x14ac:dyDescent="0.25">
      <c r="A539" s="9" t="str">
        <f ca="1">IFERROR(__xludf.DUMMYFUNCTION("""COMPUTED_VALUE"""),"AGB1639 - Prinsip Pengelolaan Mega Data Agribisnis")</f>
        <v>AGB1639 - Prinsip Pengelolaan Mega Data Agribisnis</v>
      </c>
      <c r="B539" s="44">
        <v>538</v>
      </c>
      <c r="C539" s="35" t="str">
        <f t="shared" ca="1" si="19"/>
        <v>AGB1639</v>
      </c>
      <c r="D539" s="35" t="str">
        <f t="shared" ca="1" si="20"/>
        <v>Prinsip Pengelolaan Mega Data Agribisnis</v>
      </c>
      <c r="E539" s="44">
        <f ca="1">IFERROR(VLOOKUP(A539,Mentah!D:J,7,FALSE),"")</f>
        <v>2</v>
      </c>
      <c r="F539" s="44" t="str">
        <f ca="1">IFERROR(VLOOKUP(A539,Mentah!D:K,8,FALSE),"")</f>
        <v>H351</v>
      </c>
      <c r="G539" s="35" t="str">
        <f t="shared" ca="1" si="18"/>
        <v>('AGB1639','Prinsip Pengelolaan Mega Data Agribisnis','2','H351'),</v>
      </c>
    </row>
    <row r="540" spans="1:7" ht="12.5" x14ac:dyDescent="0.25">
      <c r="A540" s="9" t="str">
        <f ca="1">IFERROR(__xludf.DUMMYFUNCTION("""COMPUTED_VALUE"""),"AGB1616 - Perilaku Konsumen Produk Agribisnis")</f>
        <v>AGB1616 - Perilaku Konsumen Produk Agribisnis</v>
      </c>
      <c r="B540" s="44">
        <v>539</v>
      </c>
      <c r="C540" s="35" t="str">
        <f t="shared" ca="1" si="19"/>
        <v>AGB1616</v>
      </c>
      <c r="D540" s="35" t="str">
        <f t="shared" ca="1" si="20"/>
        <v>Perilaku Konsumen Produk Agribisnis</v>
      </c>
      <c r="E540" s="44">
        <f ca="1">IFERROR(VLOOKUP(A540,Mentah!D:J,7,FALSE),"")</f>
        <v>2</v>
      </c>
      <c r="F540" s="44" t="str">
        <f ca="1">IFERROR(VLOOKUP(A540,Mentah!D:K,8,FALSE),"")</f>
        <v>H351</v>
      </c>
      <c r="G540" s="35" t="str">
        <f t="shared" ca="1" si="18"/>
        <v>('AGB1616','Perilaku Konsumen Produk Agribisnis','2','H351'),</v>
      </c>
    </row>
    <row r="541" spans="1:7" ht="12.5" x14ac:dyDescent="0.25">
      <c r="A541" s="9" t="str">
        <f ca="1">IFERROR(__xludf.DUMMYFUNCTION("""COMPUTED_VALUE"""),"AGB1613 - Risiko Agribisnis")</f>
        <v>AGB1613 - Risiko Agribisnis</v>
      </c>
      <c r="B541" s="44">
        <v>540</v>
      </c>
      <c r="C541" s="35" t="str">
        <f t="shared" ca="1" si="19"/>
        <v>AGB1613</v>
      </c>
      <c r="D541" s="35" t="str">
        <f t="shared" ca="1" si="20"/>
        <v>Risiko Agribisnis</v>
      </c>
      <c r="E541" s="44">
        <f ca="1">IFERROR(VLOOKUP(A541,Mentah!D:J,7,FALSE),"")</f>
        <v>2</v>
      </c>
      <c r="F541" s="44" t="str">
        <f ca="1">IFERROR(VLOOKUP(A541,Mentah!D:K,8,FALSE),"")</f>
        <v>H351</v>
      </c>
      <c r="G541" s="35" t="str">
        <f t="shared" ca="1" si="18"/>
        <v>('AGB1613','Risiko Agribisnis','2','H351'),</v>
      </c>
    </row>
    <row r="542" spans="1:7" ht="12.5" x14ac:dyDescent="0.25">
      <c r="A542" s="9" t="str">
        <f ca="1">IFERROR(__xludf.DUMMYFUNCTION("""COMPUTED_VALUE"""),"ESL1635 - Valuasi Ekonomi dan Assessmen Kerusakan Sumberdaya Alam dan Lingkungan")</f>
        <v>ESL1635 - Valuasi Ekonomi dan Assessmen Kerusakan Sumberdaya Alam dan Lingkungan</v>
      </c>
      <c r="B542" s="44">
        <v>541</v>
      </c>
      <c r="C542" s="35" t="str">
        <f t="shared" ca="1" si="19"/>
        <v>ESL1635</v>
      </c>
      <c r="D542" s="35" t="str">
        <f t="shared" ca="1" si="20"/>
        <v>Valuasi Ekonomi dan Assessmen Kerusakan Sumberdaya Alam dan Lingkungan</v>
      </c>
      <c r="E542" s="44">
        <f ca="1">IFERROR(VLOOKUP(A542,Mentah!D:J,7,FALSE),"")</f>
        <v>2</v>
      </c>
      <c r="F542" s="44" t="str">
        <f ca="1">IFERROR(VLOOKUP(A542,Mentah!D:K,8,FALSE),"")</f>
        <v>H451</v>
      </c>
      <c r="G542" s="35" t="str">
        <f t="shared" ca="1" si="18"/>
        <v>('ESL1635','Valuasi Ekonomi dan Assessmen Kerusakan Sumberdaya Alam dan Lingkungan','2','H451'),</v>
      </c>
    </row>
    <row r="543" spans="1:7" ht="12.5" x14ac:dyDescent="0.25">
      <c r="A543" s="9" t="str">
        <f ca="1">IFERROR(__xludf.DUMMYFUNCTION("""COMPUTED_VALUE"""),"ESL1626 - Analisis Neraca Sumberdaya Alam")</f>
        <v>ESL1626 - Analisis Neraca Sumberdaya Alam</v>
      </c>
      <c r="B543" s="44">
        <v>542</v>
      </c>
      <c r="C543" s="35" t="str">
        <f t="shared" ca="1" si="19"/>
        <v>ESL1626</v>
      </c>
      <c r="D543" s="35" t="str">
        <f t="shared" ca="1" si="20"/>
        <v>Analisis Neraca Sumberdaya Alam</v>
      </c>
      <c r="E543" s="44">
        <f ca="1">IFERROR(VLOOKUP(A543,Mentah!D:J,7,FALSE),"")</f>
        <v>2</v>
      </c>
      <c r="F543" s="44" t="str">
        <f ca="1">IFERROR(VLOOKUP(A543,Mentah!D:K,8,FALSE),"")</f>
        <v>H451</v>
      </c>
      <c r="G543" s="35" t="str">
        <f t="shared" ca="1" si="18"/>
        <v>('ESL1626','Analisis Neraca Sumberdaya Alam','2','H451'),</v>
      </c>
    </row>
    <row r="544" spans="1:7" ht="12.5" x14ac:dyDescent="0.25">
      <c r="A544" s="9" t="str">
        <f ca="1">IFERROR(__xludf.DUMMYFUNCTION("""COMPUTED_VALUE"""),"ESL1627 - Metodologi Penelitian Ekonomi Sumberdaya Alam dan Lingkungan")</f>
        <v>ESL1627 - Metodologi Penelitian Ekonomi Sumberdaya Alam dan Lingkungan</v>
      </c>
      <c r="B544" s="44">
        <v>543</v>
      </c>
      <c r="C544" s="35" t="str">
        <f t="shared" ca="1" si="19"/>
        <v>ESL1627</v>
      </c>
      <c r="D544" s="35" t="str">
        <f t="shared" ca="1" si="20"/>
        <v>Metodologi Penelitian Ekonomi Sumberdaya Alam dan Lingkungan</v>
      </c>
      <c r="E544" s="44">
        <f ca="1">IFERROR(VLOOKUP(A544,Mentah!D:J,7,FALSE),"")</f>
        <v>2</v>
      </c>
      <c r="F544" s="44" t="str">
        <f ca="1">IFERROR(VLOOKUP(A544,Mentah!D:K,8,FALSE),"")</f>
        <v>H451</v>
      </c>
      <c r="G544" s="35" t="str">
        <f t="shared" ca="1" si="18"/>
        <v>('ESL1627','Metodologi Penelitian Ekonomi Sumberdaya Alam dan Lingkungan','2','H451'),</v>
      </c>
    </row>
    <row r="545" spans="1:7" ht="12.5" x14ac:dyDescent="0.25">
      <c r="A545" s="9" t="str">
        <f ca="1">IFERROR(__xludf.DUMMYFUNCTION("""COMPUTED_VALUE"""),"EKO1608 - Ekonometrika Terapan")</f>
        <v>EKO1608 - Ekonometrika Terapan</v>
      </c>
      <c r="B545" s="44">
        <v>544</v>
      </c>
      <c r="C545" s="35" t="str">
        <f t="shared" ca="1" si="19"/>
        <v>EKO1608</v>
      </c>
      <c r="D545" s="35" t="str">
        <f t="shared" ca="1" si="20"/>
        <v>Ekonometrika Terapan</v>
      </c>
      <c r="E545" s="44">
        <f ca="1">IFERROR(VLOOKUP(A545,Mentah!D:J,7,FALSE),"")</f>
        <v>2</v>
      </c>
      <c r="F545" s="44" t="str">
        <f ca="1">IFERROR(VLOOKUP(A545,Mentah!D:K,8,FALSE),"")</f>
        <v>H453</v>
      </c>
      <c r="G545" s="35" t="str">
        <f t="shared" ca="1" si="18"/>
        <v>('EKO1608','Ekonometrika Terapan','2','H453'),</v>
      </c>
    </row>
    <row r="546" spans="1:7" ht="12.5" x14ac:dyDescent="0.25">
      <c r="A546" s="9" t="str">
        <f ca="1">IFERROR(__xludf.DUMMYFUNCTION("""COMPUTED_VALUE"""),"ESL1513 - Ekonomi Usaha Pertanian")</f>
        <v>ESL1513 - Ekonomi Usaha Pertanian</v>
      </c>
      <c r="B546" s="44">
        <v>545</v>
      </c>
      <c r="C546" s="35" t="str">
        <f t="shared" ca="1" si="19"/>
        <v>ESL1513</v>
      </c>
      <c r="D546" s="35" t="str">
        <f t="shared" ca="1" si="20"/>
        <v>Ekonomi Usaha Pertanian</v>
      </c>
      <c r="E546" s="44">
        <f ca="1">IFERROR(VLOOKUP(A546,Mentah!D:J,7,FALSE),"")</f>
        <v>2</v>
      </c>
      <c r="F546" s="44" t="str">
        <f ca="1">IFERROR(VLOOKUP(A546,Mentah!D:K,8,FALSE),"")</f>
        <v>H453</v>
      </c>
      <c r="G546" s="35" t="str">
        <f t="shared" ca="1" si="18"/>
        <v>('ESL1513','Ekonomi Usaha Pertanian','2','H453'),</v>
      </c>
    </row>
    <row r="547" spans="1:7" ht="12.5" x14ac:dyDescent="0.25">
      <c r="A547" s="9" t="str">
        <f ca="1">IFERROR(__xludf.DUMMYFUNCTION("""COMPUTED_VALUE"""),"ESL1512 - Kebijakan Pertanian")</f>
        <v>ESL1512 - Kebijakan Pertanian</v>
      </c>
      <c r="B547" s="44">
        <v>546</v>
      </c>
      <c r="C547" s="35" t="str">
        <f t="shared" ca="1" si="19"/>
        <v>ESL1512</v>
      </c>
      <c r="D547" s="35" t="str">
        <f t="shared" ca="1" si="20"/>
        <v>Kebijakan Pertanian</v>
      </c>
      <c r="E547" s="44">
        <f ca="1">IFERROR(VLOOKUP(A547,Mentah!D:J,7,FALSE),"")</f>
        <v>2</v>
      </c>
      <c r="F547" s="44" t="str">
        <f ca="1">IFERROR(VLOOKUP(A547,Mentah!D:K,8,FALSE),"")</f>
        <v>H453</v>
      </c>
      <c r="G547" s="35" t="str">
        <f t="shared" ca="1" si="18"/>
        <v>('ESL1512','Kebijakan Pertanian','2','H453'),</v>
      </c>
    </row>
    <row r="548" spans="1:7" ht="12.5" x14ac:dyDescent="0.25">
      <c r="A548" s="9" t="str">
        <f ca="1">IFERROR(__xludf.DUMMYFUNCTION("""COMPUTED_VALUE"""),"ESL1515 - Pemasaran Pertanian")</f>
        <v>ESL1515 - Pemasaran Pertanian</v>
      </c>
      <c r="B548" s="44">
        <v>547</v>
      </c>
      <c r="C548" s="35" t="str">
        <f t="shared" ca="1" si="19"/>
        <v>ESL1515</v>
      </c>
      <c r="D548" s="35" t="str">
        <f t="shared" ca="1" si="20"/>
        <v>Pemasaran Pertanian</v>
      </c>
      <c r="E548" s="44">
        <f ca="1">IFERROR(VLOOKUP(A548,Mentah!D:J,7,FALSE),"")</f>
        <v>2</v>
      </c>
      <c r="F548" s="44" t="str">
        <f ca="1">IFERROR(VLOOKUP(A548,Mentah!D:K,8,FALSE),"")</f>
        <v>H453</v>
      </c>
      <c r="G548" s="35" t="str">
        <f t="shared" ca="1" si="18"/>
        <v>('ESL1515','Pemasaran Pertanian','2','H453'),</v>
      </c>
    </row>
    <row r="549" spans="1:7" ht="12.5" x14ac:dyDescent="0.25">
      <c r="A549" s="9" t="str">
        <f ca="1">IFERROR(__xludf.DUMMYFUNCTION("""COMPUTED_VALUE"""),"ESL1518 - Pembangunan Pertanian")</f>
        <v>ESL1518 - Pembangunan Pertanian</v>
      </c>
      <c r="B549" s="44">
        <v>548</v>
      </c>
      <c r="C549" s="35" t="str">
        <f t="shared" ca="1" si="19"/>
        <v>ESL1518</v>
      </c>
      <c r="D549" s="35" t="str">
        <f t="shared" ca="1" si="20"/>
        <v>Pembangunan Pertanian</v>
      </c>
      <c r="E549" s="44">
        <f ca="1">IFERROR(VLOOKUP(A549,Mentah!D:J,7,FALSE),"")</f>
        <v>2</v>
      </c>
      <c r="F549" s="44" t="str">
        <f ca="1">IFERROR(VLOOKUP(A549,Mentah!D:K,8,FALSE),"")</f>
        <v>H453</v>
      </c>
      <c r="G549" s="35" t="str">
        <f t="shared" ca="1" si="18"/>
        <v>('ESL1518','Pembangunan Pertanian','2','H453'),</v>
      </c>
    </row>
    <row r="550" spans="1:7" ht="12.5" x14ac:dyDescent="0.25">
      <c r="A550" s="9" t="str">
        <f ca="1">IFERROR(__xludf.DUMMYFUNCTION("""COMPUTED_VALUE"""),"ESL1617 - Metodologi Penelitian dan Penulisan Karya Ilmiah")</f>
        <v>ESL1617 - Metodologi Penelitian dan Penulisan Karya Ilmiah</v>
      </c>
      <c r="B550" s="44">
        <v>549</v>
      </c>
      <c r="C550" s="35" t="str">
        <f t="shared" ca="1" si="19"/>
        <v>ESL1617</v>
      </c>
      <c r="D550" s="35" t="str">
        <f t="shared" ca="1" si="20"/>
        <v>Metodologi Penelitian dan Penulisan Karya Ilmiah</v>
      </c>
      <c r="E550" s="44">
        <f ca="1">IFERROR(VLOOKUP(A550,Mentah!D:J,7,FALSE),"")</f>
        <v>2</v>
      </c>
      <c r="F550" s="44" t="str">
        <f ca="1">IFERROR(VLOOKUP(A550,Mentah!D:K,8,FALSE),"")</f>
        <v>H453</v>
      </c>
      <c r="G550" s="35" t="str">
        <f t="shared" ca="1" si="18"/>
        <v>('ESL1617','Metodologi Penelitian dan Penulisan Karya Ilmiah','2','H453'),</v>
      </c>
    </row>
    <row r="551" spans="1:7" ht="12.5" x14ac:dyDescent="0.25">
      <c r="A551" s="9" t="str">
        <f ca="1">IFERROR(__xludf.DUMMYFUNCTION("""COMPUTED_VALUE"""),"ESL1516 - Ekonomi Konsumsi")</f>
        <v>ESL1516 - Ekonomi Konsumsi</v>
      </c>
      <c r="B551" s="44">
        <v>550</v>
      </c>
      <c r="C551" s="35" t="str">
        <f t="shared" ca="1" si="19"/>
        <v>ESL1516</v>
      </c>
      <c r="D551" s="35" t="str">
        <f t="shared" ca="1" si="20"/>
        <v>Ekonomi Konsumsi</v>
      </c>
      <c r="E551" s="44">
        <f ca="1">IFERROR(VLOOKUP(A551,Mentah!D:J,7,FALSE),"")</f>
        <v>2</v>
      </c>
      <c r="F551" s="44" t="str">
        <f ca="1">IFERROR(VLOOKUP(A551,Mentah!D:K,8,FALSE),"")</f>
        <v>H453</v>
      </c>
      <c r="G551" s="35" t="str">
        <f t="shared" ca="1" si="18"/>
        <v>('ESL1516','Ekonomi Konsumsi','2','H453'),</v>
      </c>
    </row>
    <row r="552" spans="1:7" ht="12.5" x14ac:dyDescent="0.25">
      <c r="A552" s="9" t="str">
        <f ca="1">IFERROR(__xludf.DUMMYFUNCTION("""COMPUTED_VALUE"""),"EKO1604 - Teori Makroekonomi")</f>
        <v>EKO1604 - Teori Makroekonomi</v>
      </c>
      <c r="B552" s="44">
        <v>551</v>
      </c>
      <c r="C552" s="35" t="str">
        <f t="shared" ca="1" si="19"/>
        <v>EKO1604</v>
      </c>
      <c r="D552" s="35" t="str">
        <f t="shared" ca="1" si="20"/>
        <v>Teori Makroekonomi</v>
      </c>
      <c r="E552" s="44">
        <f ca="1">IFERROR(VLOOKUP(A552,Mentah!D:J,7,FALSE),"")</f>
        <v>1</v>
      </c>
      <c r="F552" s="44" t="str">
        <f ca="1">IFERROR(VLOOKUP(A552,Mentah!D:K,8,FALSE),"")</f>
        <v>H454</v>
      </c>
      <c r="G552" s="35" t="str">
        <f t="shared" ca="1" si="18"/>
        <v>('EKO1604','Teori Makroekonomi','1','H454'),</v>
      </c>
    </row>
    <row r="553" spans="1:7" ht="12.5" x14ac:dyDescent="0.25">
      <c r="A553" s="9" t="str">
        <f ca="1">IFERROR(__xludf.DUMMYFUNCTION("""COMPUTED_VALUE"""),"ESL1602 - Metodologi Penelitian Ekonomi Kelautan Tropika")</f>
        <v>ESL1602 - Metodologi Penelitian Ekonomi Kelautan Tropika</v>
      </c>
      <c r="B553" s="44">
        <v>552</v>
      </c>
      <c r="C553" s="35" t="str">
        <f t="shared" ca="1" si="19"/>
        <v>ESL1602</v>
      </c>
      <c r="D553" s="35" t="str">
        <f t="shared" ca="1" si="20"/>
        <v>Metodologi Penelitian Ekonomi Kelautan Tropika</v>
      </c>
      <c r="E553" s="44">
        <f ca="1">IFERROR(VLOOKUP(A553,Mentah!D:J,7,FALSE),"")</f>
        <v>2</v>
      </c>
      <c r="F553" s="44" t="str">
        <f ca="1">IFERROR(VLOOKUP(A553,Mentah!D:K,8,FALSE),"")</f>
        <v>H454</v>
      </c>
      <c r="G553" s="35" t="str">
        <f t="shared" ca="1" si="18"/>
        <v>('ESL1602','Metodologi Penelitian Ekonomi Kelautan Tropika','2','H454'),</v>
      </c>
    </row>
    <row r="554" spans="1:7" ht="12.5" x14ac:dyDescent="0.25">
      <c r="A554" s="9" t="str">
        <f ca="1">IFERROR(__xludf.DUMMYFUNCTION("""COMPUTED_VALUE"""),"EKO1509 - Teori Mikroekonomi")</f>
        <v>EKO1509 - Teori Mikroekonomi</v>
      </c>
      <c r="B554" s="44">
        <v>553</v>
      </c>
      <c r="C554" s="35" t="str">
        <f t="shared" ca="1" si="19"/>
        <v>EKO1509</v>
      </c>
      <c r="D554" s="35" t="str">
        <f t="shared" ca="1" si="20"/>
        <v>Teori Mikroekonomi</v>
      </c>
      <c r="E554" s="44">
        <f ca="1">IFERROR(VLOOKUP(A554,Mentah!D:J,7,FALSE),"")</f>
        <v>1</v>
      </c>
      <c r="F554" s="44" t="str">
        <f ca="1">IFERROR(VLOOKUP(A554,Mentah!D:K,8,FALSE),"")</f>
        <v>H454</v>
      </c>
      <c r="G554" s="35" t="str">
        <f t="shared" ca="1" si="18"/>
        <v>('EKO1509','Teori Mikroekonomi','1','H454'),</v>
      </c>
    </row>
    <row r="555" spans="1:7" ht="12.5" x14ac:dyDescent="0.25">
      <c r="A555" s="9" t="str">
        <f ca="1">IFERROR(__xludf.DUMMYFUNCTION("""COMPUTED_VALUE"""),"ESL1651 - Ekonomi Sumberdaya Kelautan Tropika")</f>
        <v>ESL1651 - Ekonomi Sumberdaya Kelautan Tropika</v>
      </c>
      <c r="B555" s="44">
        <v>554</v>
      </c>
      <c r="C555" s="35" t="str">
        <f t="shared" ca="1" si="19"/>
        <v>ESL1651</v>
      </c>
      <c r="D555" s="35" t="str">
        <f t="shared" ca="1" si="20"/>
        <v>Ekonomi Sumberdaya Kelautan Tropika</v>
      </c>
      <c r="E555" s="44">
        <f ca="1">IFERROR(VLOOKUP(A555,Mentah!D:J,7,FALSE),"")</f>
        <v>1</v>
      </c>
      <c r="F555" s="44" t="str">
        <f ca="1">IFERROR(VLOOKUP(A555,Mentah!D:K,8,FALSE),"")</f>
        <v>H454</v>
      </c>
      <c r="G555" s="35" t="str">
        <f t="shared" ca="1" si="18"/>
        <v>('ESL1651','Ekonomi Sumberdaya Kelautan Tropika','1','H454'),</v>
      </c>
    </row>
    <row r="556" spans="1:7" ht="12.5" x14ac:dyDescent="0.25">
      <c r="A556" s="9" t="str">
        <f ca="1">IFERROR(__xludf.DUMMYFUNCTION("""COMPUTED_VALUE"""),"ESL1522 - Metode Kuantitatif untuk Ekonomi Sumberdaya Alam dan Lingkungan")</f>
        <v>ESL1522 - Metode Kuantitatif untuk Ekonomi Sumberdaya Alam dan Lingkungan</v>
      </c>
      <c r="B556" s="44">
        <v>555</v>
      </c>
      <c r="C556" s="35" t="str">
        <f t="shared" ca="1" si="19"/>
        <v>ESL1522</v>
      </c>
      <c r="D556" s="35" t="str">
        <f t="shared" ca="1" si="20"/>
        <v>Metode Kuantitatif untuk Ekonomi Sumberdaya Alam dan Lingkungan</v>
      </c>
      <c r="E556" s="44">
        <f ca="1">IFERROR(VLOOKUP(A556,Mentah!D:J,7,FALSE),"")</f>
        <v>1</v>
      </c>
      <c r="F556" s="44" t="str">
        <f ca="1">IFERROR(VLOOKUP(A556,Mentah!D:K,8,FALSE),"")</f>
        <v>H454</v>
      </c>
      <c r="G556" s="35" t="str">
        <f t="shared" ca="1" si="18"/>
        <v>('ESL1522','Metode Kuantitatif untuk Ekonomi Sumberdaya Alam dan Lingkungan','1','H454'),</v>
      </c>
    </row>
    <row r="557" spans="1:7" ht="12.5" x14ac:dyDescent="0.25">
      <c r="A557" s="9" t="str">
        <f ca="1">IFERROR(__xludf.DUMMYFUNCTION("""COMPUTED_VALUE"""),"ESL1526 - Ekonomi Kelembagaan")</f>
        <v>ESL1526 - Ekonomi Kelembagaan</v>
      </c>
      <c r="B557" s="44">
        <v>556</v>
      </c>
      <c r="C557" s="35" t="str">
        <f t="shared" ca="1" si="19"/>
        <v>ESL1526</v>
      </c>
      <c r="D557" s="35" t="str">
        <f t="shared" ca="1" si="20"/>
        <v>Ekonomi Kelembagaan</v>
      </c>
      <c r="E557" s="44">
        <f ca="1">IFERROR(VLOOKUP(A557,Mentah!D:J,7,FALSE),"")</f>
        <v>2</v>
      </c>
      <c r="F557" s="44" t="str">
        <f ca="1">IFERROR(VLOOKUP(A557,Mentah!D:K,8,FALSE),"")</f>
        <v>H454</v>
      </c>
      <c r="G557" s="35" t="str">
        <f t="shared" ca="1" si="18"/>
        <v>('ESL1526','Ekonomi Kelembagaan','2','H454'),</v>
      </c>
    </row>
    <row r="558" spans="1:7" ht="12.5" x14ac:dyDescent="0.25">
      <c r="A558" s="9" t="str">
        <f ca="1">IFERROR(__xludf.DUMMYFUNCTION("""COMPUTED_VALUE"""),"ESL1652 - Karakteristik dan Pengelolaan Sumberdaya Kelautan Tropika")</f>
        <v>ESL1652 - Karakteristik dan Pengelolaan Sumberdaya Kelautan Tropika</v>
      </c>
      <c r="B558" s="44">
        <v>557</v>
      </c>
      <c r="C558" s="35" t="str">
        <f t="shared" ca="1" si="19"/>
        <v>ESL1652</v>
      </c>
      <c r="D558" s="35" t="str">
        <f t="shared" ca="1" si="20"/>
        <v>Karakteristik dan Pengelolaan Sumberdaya Kelautan Tropika</v>
      </c>
      <c r="E558" s="44">
        <f ca="1">IFERROR(VLOOKUP(A558,Mentah!D:J,7,FALSE),"")</f>
        <v>1</v>
      </c>
      <c r="F558" s="44" t="str">
        <f ca="1">IFERROR(VLOOKUP(A558,Mentah!D:K,8,FALSE),"")</f>
        <v>H454</v>
      </c>
      <c r="G558" s="35" t="str">
        <f t="shared" ca="1" si="18"/>
        <v>('ESL1652','Karakteristik dan Pengelolaan Sumberdaya Kelautan Tropika','1','H454'),</v>
      </c>
    </row>
    <row r="559" spans="1:7" ht="12.5" x14ac:dyDescent="0.25">
      <c r="A559" s="9" t="str">
        <f ca="1">IFERROR(__xludf.DUMMYFUNCTION("""COMPUTED_VALUE"""),"ESL1658 - Ekonomi Kelautan")</f>
        <v>ESL1658 - Ekonomi Kelautan</v>
      </c>
      <c r="B559" s="44">
        <v>558</v>
      </c>
      <c r="C559" s="35" t="str">
        <f t="shared" ca="1" si="19"/>
        <v>ESL1658</v>
      </c>
      <c r="D559" s="35" t="str">
        <f t="shared" ca="1" si="20"/>
        <v>Ekonomi Kelautan</v>
      </c>
      <c r="E559" s="44">
        <f ca="1">IFERROR(VLOOKUP(A559,Mentah!D:J,7,FALSE),"")</f>
        <v>2</v>
      </c>
      <c r="F559" s="44" t="str">
        <f ca="1">IFERROR(VLOOKUP(A559,Mentah!D:K,8,FALSE),"")</f>
        <v>H454</v>
      </c>
      <c r="G559" s="35" t="str">
        <f t="shared" ca="1" si="18"/>
        <v>('ESL1658','Ekonomi Kelautan','2','H454'),</v>
      </c>
    </row>
    <row r="560" spans="1:7" ht="12.5" x14ac:dyDescent="0.25">
      <c r="A560" s="9" t="str">
        <f ca="1">IFERROR(__xludf.DUMMYFUNCTION("""COMPUTED_VALUE"""),"ESL1653 - Kebijakan Kelautan")</f>
        <v>ESL1653 - Kebijakan Kelautan</v>
      </c>
      <c r="B560" s="44">
        <v>559</v>
      </c>
      <c r="C560" s="35" t="str">
        <f t="shared" ca="1" si="19"/>
        <v>ESL1653</v>
      </c>
      <c r="D560" s="35" t="str">
        <f t="shared" ca="1" si="20"/>
        <v>Kebijakan Kelautan</v>
      </c>
      <c r="E560" s="44">
        <f ca="1">IFERROR(VLOOKUP(A560,Mentah!D:J,7,FALSE),"")</f>
        <v>2</v>
      </c>
      <c r="F560" s="44" t="str">
        <f ca="1">IFERROR(VLOOKUP(A560,Mentah!D:K,8,FALSE),"")</f>
        <v>H454</v>
      </c>
      <c r="G560" s="35" t="str">
        <f t="shared" ca="1" si="18"/>
        <v>('ESL1653','Kebijakan Kelautan','2','H454'),</v>
      </c>
    </row>
    <row r="561" spans="1:7" ht="12.5" x14ac:dyDescent="0.25">
      <c r="A561" s="9" t="str">
        <f ca="1">IFERROR(__xludf.DUMMYFUNCTION("""COMPUTED_VALUE"""),"GIZ164C - Sosio-budaya Pangan dan Gizi")</f>
        <v>GIZ164C - Sosio-budaya Pangan dan Gizi</v>
      </c>
      <c r="B561" s="44">
        <v>560</v>
      </c>
      <c r="C561" s="35" t="str">
        <f t="shared" ca="1" si="19"/>
        <v>GIZ164C</v>
      </c>
      <c r="D561" s="35" t="str">
        <f t="shared" ca="1" si="20"/>
        <v>Sosio-budaya Pangan dan Gizi</v>
      </c>
      <c r="E561" s="44">
        <f ca="1">IFERROR(VLOOKUP(A561,Mentah!D:J,7,FALSE),"")</f>
        <v>2</v>
      </c>
      <c r="F561" s="44" t="str">
        <f ca="1">IFERROR(VLOOKUP(A561,Mentah!D:K,8,FALSE),"")</f>
        <v>I154</v>
      </c>
      <c r="G561" s="35" t="str">
        <f t="shared" ca="1" si="18"/>
        <v>('GIZ164C','Sosio-budaya Pangan dan Gizi','2','I154'),</v>
      </c>
    </row>
    <row r="562" spans="1:7" ht="12.5" x14ac:dyDescent="0.25">
      <c r="A562" s="9" t="str">
        <f ca="1">IFERROR(__xludf.DUMMYFUNCTION("""COMPUTED_VALUE"""),"GIZ152C - Gizi Olahraga dan Kebugaran")</f>
        <v>GIZ152C - Gizi Olahraga dan Kebugaran</v>
      </c>
      <c r="B562" s="44">
        <v>561</v>
      </c>
      <c r="C562" s="35" t="str">
        <f t="shared" ca="1" si="19"/>
        <v>GIZ152C</v>
      </c>
      <c r="D562" s="35" t="str">
        <f t="shared" ca="1" si="20"/>
        <v>Gizi Olahraga dan Kebugaran</v>
      </c>
      <c r="E562" s="44">
        <f ca="1">IFERROR(VLOOKUP(A562,Mentah!D:J,7,FALSE),"")</f>
        <v>2</v>
      </c>
      <c r="F562" s="44" t="str">
        <f ca="1">IFERROR(VLOOKUP(A562,Mentah!D:K,8,FALSE),"")</f>
        <v>I154</v>
      </c>
      <c r="G562" s="35" t="str">
        <f t="shared" ca="1" si="18"/>
        <v>('GIZ152C','Gizi Olahraga dan Kebugaran','2','I154'),</v>
      </c>
    </row>
    <row r="563" spans="1:7" ht="12.5" x14ac:dyDescent="0.25">
      <c r="A563" s="9" t="str">
        <f ca="1">IFERROR(__xludf.DUMMYFUNCTION("""COMPUTED_VALUE"""),"GIZ154A - Gizi dan Pembangunan")</f>
        <v>GIZ154A - Gizi dan Pembangunan</v>
      </c>
      <c r="B563" s="44">
        <v>562</v>
      </c>
      <c r="C563" s="35" t="str">
        <f t="shared" ca="1" si="19"/>
        <v>GIZ154A</v>
      </c>
      <c r="D563" s="35" t="str">
        <f t="shared" ca="1" si="20"/>
        <v>Gizi dan Pembangunan</v>
      </c>
      <c r="E563" s="44">
        <f ca="1">IFERROR(VLOOKUP(A563,Mentah!D:J,7,FALSE),"")</f>
        <v>2</v>
      </c>
      <c r="F563" s="44" t="str">
        <f ca="1">IFERROR(VLOOKUP(A563,Mentah!D:K,8,FALSE),"")</f>
        <v>I154</v>
      </c>
      <c r="G563" s="35" t="str">
        <f t="shared" ca="1" si="18"/>
        <v>('GIZ154A','Gizi dan Pembangunan','2','I154'),</v>
      </c>
    </row>
    <row r="564" spans="1:7" ht="12.5" x14ac:dyDescent="0.25">
      <c r="A564" s="9" t="str">
        <f ca="1">IFERROR(__xludf.DUMMYFUNCTION("""COMPUTED_VALUE"""),"GIZ162A - Perubahan Perilaku Gizi")</f>
        <v>GIZ162A - Perubahan Perilaku Gizi</v>
      </c>
      <c r="B564" s="44">
        <v>563</v>
      </c>
      <c r="C564" s="35" t="str">
        <f t="shared" ca="1" si="19"/>
        <v>GIZ162A</v>
      </c>
      <c r="D564" s="35" t="str">
        <f t="shared" ca="1" si="20"/>
        <v>Perubahan Perilaku Gizi</v>
      </c>
      <c r="E564" s="44">
        <f ca="1">IFERROR(VLOOKUP(A564,Mentah!D:J,7,FALSE),"")</f>
        <v>2</v>
      </c>
      <c r="F564" s="44" t="str">
        <f ca="1">IFERROR(VLOOKUP(A564,Mentah!D:K,8,FALSE),"")</f>
        <v>I154</v>
      </c>
      <c r="G564" s="35" t="str">
        <f t="shared" ca="1" si="18"/>
        <v>('GIZ162A','Perubahan Perilaku Gizi','2','I154'),</v>
      </c>
    </row>
    <row r="565" spans="1:7" ht="12.5" x14ac:dyDescent="0.25">
      <c r="A565" s="9" t="str">
        <f ca="1">IFERROR(__xludf.DUMMYFUNCTION("""COMPUTED_VALUE"""),"GIZ160A - Metode Penelitian Gizi Lanjut")</f>
        <v>GIZ160A - Metode Penelitian Gizi Lanjut</v>
      </c>
      <c r="B565" s="44">
        <v>564</v>
      </c>
      <c r="C565" s="35" t="str">
        <f t="shared" ca="1" si="19"/>
        <v>GIZ160A</v>
      </c>
      <c r="D565" s="35" t="str">
        <f t="shared" ca="1" si="20"/>
        <v>Metode Penelitian Gizi Lanjut</v>
      </c>
      <c r="E565" s="44">
        <f ca="1">IFERROR(VLOOKUP(A565,Mentah!D:J,7,FALSE),"")</f>
        <v>2</v>
      </c>
      <c r="F565" s="44" t="str">
        <f ca="1">IFERROR(VLOOKUP(A565,Mentah!D:K,8,FALSE),"")</f>
        <v>I154</v>
      </c>
      <c r="G565" s="35" t="str">
        <f t="shared" ca="1" si="18"/>
        <v>('GIZ160A','Metode Penelitian Gizi Lanjut','2','I154'),</v>
      </c>
    </row>
    <row r="566" spans="1:7" ht="12.5" x14ac:dyDescent="0.25">
      <c r="A566" s="9" t="str">
        <f ca="1">IFERROR(__xludf.DUMMYFUNCTION("""COMPUTED_VALUE"""),"GIZ162B - Intervensi Pangan dan Gizi")</f>
        <v>GIZ162B - Intervensi Pangan dan Gizi</v>
      </c>
      <c r="B566" s="44">
        <v>565</v>
      </c>
      <c r="C566" s="35" t="str">
        <f t="shared" ca="1" si="19"/>
        <v>GIZ162B</v>
      </c>
      <c r="D566" s="35" t="str">
        <f t="shared" ca="1" si="20"/>
        <v>Intervensi Pangan dan Gizi</v>
      </c>
      <c r="E566" s="44">
        <f ca="1">IFERROR(VLOOKUP(A566,Mentah!D:J,7,FALSE),"")</f>
        <v>2</v>
      </c>
      <c r="F566" s="44" t="str">
        <f ca="1">IFERROR(VLOOKUP(A566,Mentah!D:K,8,FALSE),"")</f>
        <v>I154</v>
      </c>
      <c r="G566" s="35" t="str">
        <f t="shared" ca="1" si="18"/>
        <v>('GIZ162B','Intervensi Pangan dan Gizi','2','I154'),</v>
      </c>
    </row>
    <row r="567" spans="1:7" ht="12.5" x14ac:dyDescent="0.25">
      <c r="A567" s="9" t="str">
        <f ca="1">IFERROR(__xludf.DUMMYFUNCTION("""COMPUTED_VALUE"""),"GIZ163A - Pengembangan Produk Pangan Intervensi")</f>
        <v>GIZ163A - Pengembangan Produk Pangan Intervensi</v>
      </c>
      <c r="B567" s="44">
        <v>566</v>
      </c>
      <c r="C567" s="35" t="str">
        <f t="shared" ca="1" si="19"/>
        <v>GIZ163A</v>
      </c>
      <c r="D567" s="35" t="str">
        <f t="shared" ca="1" si="20"/>
        <v>Pengembangan Produk Pangan Intervensi</v>
      </c>
      <c r="E567" s="44">
        <f ca="1">IFERROR(VLOOKUP(A567,Mentah!D:J,7,FALSE),"")</f>
        <v>2</v>
      </c>
      <c r="F567" s="44" t="str">
        <f ca="1">IFERROR(VLOOKUP(A567,Mentah!D:K,8,FALSE),"")</f>
        <v>I154</v>
      </c>
      <c r="G567" s="35" t="str">
        <f t="shared" ca="1" si="18"/>
        <v>('GIZ163A','Pengembangan Produk Pangan Intervensi','2','I154'),</v>
      </c>
    </row>
    <row r="568" spans="1:7" ht="12.5" x14ac:dyDescent="0.25">
      <c r="A568" s="9" t="str">
        <f ca="1">IFERROR(__xludf.DUMMYFUNCTION("""COMPUTED_VALUE"""),"GIZ151B - Gizi Molekuler dan Klinis")</f>
        <v>GIZ151B - Gizi Molekuler dan Klinis</v>
      </c>
      <c r="B568" s="44">
        <v>567</v>
      </c>
      <c r="C568" s="35" t="str">
        <f t="shared" ca="1" si="19"/>
        <v>GIZ151B</v>
      </c>
      <c r="D568" s="35" t="str">
        <f t="shared" ca="1" si="20"/>
        <v>Gizi Molekuler dan Klinis</v>
      </c>
      <c r="E568" s="44">
        <f ca="1">IFERROR(VLOOKUP(A568,Mentah!D:J,7,FALSE),"")</f>
        <v>2</v>
      </c>
      <c r="F568" s="44" t="str">
        <f ca="1">IFERROR(VLOOKUP(A568,Mentah!D:K,8,FALSE),"")</f>
        <v>I154</v>
      </c>
      <c r="G568" s="35" t="str">
        <f t="shared" ca="1" si="18"/>
        <v>('GIZ151B','Gizi Molekuler dan Klinis','2','I154'),</v>
      </c>
    </row>
    <row r="569" spans="1:7" ht="12.5" x14ac:dyDescent="0.25">
      <c r="A569" s="9" t="str">
        <f ca="1">IFERROR(__xludf.DUMMYFUNCTION("""COMPUTED_VALUE"""),"IKK1501 - Metode Penelitian Keluarga dan Anak")</f>
        <v>IKK1501 - Metode Penelitian Keluarga dan Anak</v>
      </c>
      <c r="B569" s="44">
        <v>568</v>
      </c>
      <c r="C569" s="35" t="str">
        <f t="shared" ca="1" si="19"/>
        <v>IKK1501</v>
      </c>
      <c r="D569" s="35" t="str">
        <f t="shared" ca="1" si="20"/>
        <v>Metode Penelitian Keluarga dan Anak</v>
      </c>
      <c r="E569" s="44">
        <f ca="1">IFERROR(VLOOKUP(A569,Mentah!D:J,7,FALSE),"")</f>
        <v>2</v>
      </c>
      <c r="F569" s="44" t="str">
        <f ca="1">IFERROR(VLOOKUP(A569,Mentah!D:K,8,FALSE),"")</f>
        <v>I251</v>
      </c>
      <c r="G569" s="35" t="str">
        <f t="shared" ca="1" si="18"/>
        <v>('IKK1501','Metode Penelitian Keluarga dan Anak','2','I251'),</v>
      </c>
    </row>
    <row r="570" spans="1:7" ht="12.5" x14ac:dyDescent="0.25">
      <c r="A570" s="9" t="str">
        <f ca="1">IFERROR(__xludf.DUMMYFUNCTION("""COMPUTED_VALUE"""),"IKK1623 - Pengembangan Alat Ukur")</f>
        <v>IKK1623 - Pengembangan Alat Ukur</v>
      </c>
      <c r="B570" s="44">
        <v>569</v>
      </c>
      <c r="C570" s="35" t="str">
        <f t="shared" ca="1" si="19"/>
        <v>IKK1623</v>
      </c>
      <c r="D570" s="35" t="str">
        <f t="shared" ca="1" si="20"/>
        <v>Pengembangan Alat Ukur</v>
      </c>
      <c r="E570" s="44">
        <f ca="1">IFERROR(VLOOKUP(A570,Mentah!D:J,7,FALSE),"")</f>
        <v>2</v>
      </c>
      <c r="F570" s="44" t="str">
        <f ca="1">IFERROR(VLOOKUP(A570,Mentah!D:K,8,FALSE),"")</f>
        <v>I251</v>
      </c>
      <c r="G570" s="35" t="str">
        <f t="shared" ca="1" si="18"/>
        <v>('IKK1623','Pengembangan Alat Ukur','2','I251'),</v>
      </c>
    </row>
    <row r="571" spans="1:7" ht="12.5" x14ac:dyDescent="0.25">
      <c r="A571" s="9" t="str">
        <f ca="1">IFERROR(__xludf.DUMMYFUNCTION("""COMPUTED_VALUE"""),"IKK1616 - Kebijakan Publik dan Keluarga")</f>
        <v>IKK1616 - Kebijakan Publik dan Keluarga</v>
      </c>
      <c r="B571" s="44">
        <v>570</v>
      </c>
      <c r="C571" s="35" t="str">
        <f t="shared" ca="1" si="19"/>
        <v>IKK1616</v>
      </c>
      <c r="D571" s="35" t="str">
        <f t="shared" ca="1" si="20"/>
        <v>Kebijakan Publik dan Keluarga</v>
      </c>
      <c r="E571" s="44">
        <f ca="1">IFERROR(VLOOKUP(A571,Mentah!D:J,7,FALSE),"")</f>
        <v>2</v>
      </c>
      <c r="F571" s="44" t="str">
        <f ca="1">IFERROR(VLOOKUP(A571,Mentah!D:K,8,FALSE),"")</f>
        <v>I251</v>
      </c>
      <c r="G571" s="35" t="str">
        <f t="shared" ca="1" si="18"/>
        <v>('IKK1616','Kebijakan Publik dan Keluarga','2','I251'),</v>
      </c>
    </row>
    <row r="572" spans="1:7" ht="12.5" x14ac:dyDescent="0.25">
      <c r="A572" s="9" t="str">
        <f ca="1">IFERROR(__xludf.DUMMYFUNCTION("""COMPUTED_VALUE"""),"IKK1621 - Pendidikan Holistik Integratif")</f>
        <v>IKK1621 - Pendidikan Holistik Integratif</v>
      </c>
      <c r="B572" s="44">
        <v>571</v>
      </c>
      <c r="C572" s="35" t="str">
        <f t="shared" ca="1" si="19"/>
        <v>IKK1621</v>
      </c>
      <c r="D572" s="35" t="str">
        <f t="shared" ca="1" si="20"/>
        <v>Pendidikan Holistik Integratif</v>
      </c>
      <c r="E572" s="44">
        <f ca="1">IFERROR(VLOOKUP(A572,Mentah!D:J,7,FALSE),"")</f>
        <v>2</v>
      </c>
      <c r="F572" s="44" t="str">
        <f ca="1">IFERROR(VLOOKUP(A572,Mentah!D:K,8,FALSE),"")</f>
        <v>I251</v>
      </c>
      <c r="G572" s="35" t="str">
        <f t="shared" ca="1" si="18"/>
        <v>('IKK1621','Pendidikan Holistik Integratif','2','I251'),</v>
      </c>
    </row>
    <row r="573" spans="1:7" ht="12.5" x14ac:dyDescent="0.25">
      <c r="A573" s="9" t="str">
        <f ca="1">IFERROR(__xludf.DUMMYFUNCTION("""COMPUTED_VALUE"""),"IKK1634 - Keuangan dan Investasi Keluarga")</f>
        <v>IKK1634 - Keuangan dan Investasi Keluarga</v>
      </c>
      <c r="B573" s="44">
        <v>572</v>
      </c>
      <c r="C573" s="35" t="str">
        <f t="shared" ca="1" si="19"/>
        <v>IKK1634</v>
      </c>
      <c r="D573" s="35" t="str">
        <f t="shared" ca="1" si="20"/>
        <v>Keuangan dan Investasi Keluarga</v>
      </c>
      <c r="E573" s="44">
        <f ca="1">IFERROR(VLOOKUP(A573,Mentah!D:J,7,FALSE),"")</f>
        <v>2</v>
      </c>
      <c r="F573" s="44" t="str">
        <f ca="1">IFERROR(VLOOKUP(A573,Mentah!D:K,8,FALSE),"")</f>
        <v>I251</v>
      </c>
      <c r="G573" s="35" t="str">
        <f t="shared" ca="1" si="18"/>
        <v>('IKK1634','Keuangan dan Investasi Keluarga','2','I251'),</v>
      </c>
    </row>
    <row r="574" spans="1:7" ht="12.5" x14ac:dyDescent="0.25">
      <c r="A574" s="9" t="str">
        <f ca="1">IFERROR(__xludf.DUMMYFUNCTION("""COMPUTED_VALUE"""),"IKK1602 - Analisis Data Kuantitatif Keluarga")</f>
        <v>IKK1602 - Analisis Data Kuantitatif Keluarga</v>
      </c>
      <c r="B574" s="44">
        <v>573</v>
      </c>
      <c r="C574" s="35" t="str">
        <f t="shared" ca="1" si="19"/>
        <v>IKK1602</v>
      </c>
      <c r="D574" s="35" t="str">
        <f t="shared" ca="1" si="20"/>
        <v>Analisis Data Kuantitatif Keluarga</v>
      </c>
      <c r="E574" s="44">
        <f ca="1">IFERROR(VLOOKUP(A574,Mentah!D:J,7,FALSE),"")</f>
        <v>2</v>
      </c>
      <c r="F574" s="44" t="str">
        <f ca="1">IFERROR(VLOOKUP(A574,Mentah!D:K,8,FALSE),"")</f>
        <v>I251</v>
      </c>
      <c r="G574" s="35" t="str">
        <f t="shared" ca="1" si="18"/>
        <v>('IKK1602','Analisis Data Kuantitatif Keluarga','2','I251'),</v>
      </c>
    </row>
    <row r="575" spans="1:7" ht="12.5" x14ac:dyDescent="0.25">
      <c r="A575" s="9" t="str">
        <f ca="1">IFERROR(__xludf.DUMMYFUNCTION("""COMPUTED_VALUE"""),"IKK1603 - Analisis Data Kualitatif Keluarga")</f>
        <v>IKK1603 - Analisis Data Kualitatif Keluarga</v>
      </c>
      <c r="B575" s="44">
        <v>574</v>
      </c>
      <c r="C575" s="35" t="str">
        <f t="shared" ca="1" si="19"/>
        <v>IKK1603</v>
      </c>
      <c r="D575" s="35" t="str">
        <f t="shared" ca="1" si="20"/>
        <v>Analisis Data Kualitatif Keluarga</v>
      </c>
      <c r="E575" s="44">
        <f ca="1">IFERROR(VLOOKUP(A575,Mentah!D:J,7,FALSE),"")</f>
        <v>2</v>
      </c>
      <c r="F575" s="44" t="str">
        <f ca="1">IFERROR(VLOOKUP(A575,Mentah!D:K,8,FALSE),"")</f>
        <v>I251</v>
      </c>
      <c r="G575" s="35" t="str">
        <f t="shared" ca="1" si="18"/>
        <v>('IKK1603','Analisis Data Kualitatif Keluarga','2','I251'),</v>
      </c>
    </row>
    <row r="576" spans="1:7" ht="12.5" x14ac:dyDescent="0.25">
      <c r="A576" s="9" t="str">
        <f ca="1">IFERROR(__xludf.DUMMYFUNCTION("""COMPUTED_VALUE"""),"IKK1617 - Masa Dewasa dan Lansia")</f>
        <v>IKK1617 - Masa Dewasa dan Lansia</v>
      </c>
      <c r="B576" s="44">
        <v>575</v>
      </c>
      <c r="C576" s="35" t="str">
        <f t="shared" ca="1" si="19"/>
        <v>IKK1617</v>
      </c>
      <c r="D576" s="35" t="str">
        <f t="shared" ca="1" si="20"/>
        <v>Masa Dewasa dan Lansia</v>
      </c>
      <c r="E576" s="44">
        <f ca="1">IFERROR(VLOOKUP(A576,Mentah!D:J,7,FALSE),"")</f>
        <v>2</v>
      </c>
      <c r="F576" s="44" t="str">
        <f ca="1">IFERROR(VLOOKUP(A576,Mentah!D:K,8,FALSE),"")</f>
        <v>I251</v>
      </c>
      <c r="G576" s="35" t="str">
        <f t="shared" ca="1" si="18"/>
        <v>('IKK1617','Masa Dewasa dan Lansia','2','I251'),</v>
      </c>
    </row>
    <row r="577" spans="1:7" ht="12.5" x14ac:dyDescent="0.25">
      <c r="A577" s="9" t="str">
        <f ca="1">IFERROR(__xludf.DUMMYFUNCTION("""COMPUTED_VALUE"""),"KPM1551 - Metodologi Penelitian Komunikasi dan Penyuluhan Pembangunan")</f>
        <v>KPM1551 - Metodologi Penelitian Komunikasi dan Penyuluhan Pembangunan</v>
      </c>
      <c r="B577" s="44">
        <v>576</v>
      </c>
      <c r="C577" s="35" t="str">
        <f t="shared" ca="1" si="19"/>
        <v>KPM1551</v>
      </c>
      <c r="D577" s="35" t="str">
        <f t="shared" ca="1" si="20"/>
        <v>Metodologi Penelitian Komunikasi dan Penyuluhan Pembangunan</v>
      </c>
      <c r="E577" s="44">
        <f ca="1">IFERROR(VLOOKUP(A577,Mentah!D:J,7,FALSE),"")</f>
        <v>2</v>
      </c>
      <c r="F577" s="44" t="str">
        <f ca="1">IFERROR(VLOOKUP(A577,Mentah!D:K,8,FALSE),"")</f>
        <v>I352</v>
      </c>
      <c r="G577" s="35" t="str">
        <f t="shared" ca="1" si="18"/>
        <v>('KPM1551','Metodologi Penelitian Komunikasi dan Penyuluhan Pembangunan','2','I352'),</v>
      </c>
    </row>
    <row r="578" spans="1:7" ht="12.5" x14ac:dyDescent="0.25">
      <c r="A578" s="9" t="str">
        <f ca="1">IFERROR(__xludf.DUMMYFUNCTION("""COMPUTED_VALUE"""),"KPM1656 - Teknologi Informasi dan Komunikasi dalam Pembangunan")</f>
        <v>KPM1656 - Teknologi Informasi dan Komunikasi dalam Pembangunan</v>
      </c>
      <c r="B578" s="44">
        <v>577</v>
      </c>
      <c r="C578" s="35" t="str">
        <f t="shared" ref="C578:C641" ca="1" si="21">IFERROR(LEFT(A578,7),"")</f>
        <v>KPM1656</v>
      </c>
      <c r="D578" s="35" t="str">
        <f t="shared" ref="D578:D641" ca="1" si="22">IFERROR(MID(A578,11,99),"")</f>
        <v>Teknologi Informasi dan Komunikasi dalam Pembangunan</v>
      </c>
      <c r="E578" s="44">
        <f ca="1">IFERROR(VLOOKUP(A578,Mentah!D:J,7,FALSE),"")</f>
        <v>2</v>
      </c>
      <c r="F578" s="44" t="str">
        <f ca="1">IFERROR(VLOOKUP(A578,Mentah!D:K,8,FALSE),"")</f>
        <v>I352</v>
      </c>
      <c r="G578" s="35" t="str">
        <f t="shared" ca="1" si="18"/>
        <v>('KPM1656','Teknologi Informasi dan Komunikasi dalam Pembangunan','2','I352'),</v>
      </c>
    </row>
    <row r="579" spans="1:7" ht="12.5" x14ac:dyDescent="0.25">
      <c r="A579" s="9" t="str">
        <f ca="1">IFERROR(__xludf.DUMMYFUNCTION("""COMPUTED_VALUE"""),"KPM1614 - Komunikasi dan Perubahan Sosial")</f>
        <v>KPM1614 - Komunikasi dan Perubahan Sosial</v>
      </c>
      <c r="B579" s="44">
        <v>578</v>
      </c>
      <c r="C579" s="35" t="str">
        <f t="shared" ca="1" si="21"/>
        <v>KPM1614</v>
      </c>
      <c r="D579" s="35" t="str">
        <f t="shared" ca="1" si="22"/>
        <v>Komunikasi dan Perubahan Sosial</v>
      </c>
      <c r="E579" s="44">
        <f ca="1">IFERROR(VLOOKUP(A579,Mentah!D:J,7,FALSE),"")</f>
        <v>2</v>
      </c>
      <c r="F579" s="44" t="str">
        <f ca="1">IFERROR(VLOOKUP(A579,Mentah!D:K,8,FALSE),"")</f>
        <v>I352</v>
      </c>
      <c r="G579" s="35" t="str">
        <f t="shared" ca="1" si="18"/>
        <v>('KPM1614','Komunikasi dan Perubahan Sosial','2','I352'),</v>
      </c>
    </row>
    <row r="580" spans="1:7" ht="12.5" x14ac:dyDescent="0.25">
      <c r="A580" s="9" t="str">
        <f ca="1">IFERROR(__xludf.DUMMYFUNCTION("""COMPUTED_VALUE"""),"KPM165C - Perencanaan dan Evaluasi Partisipatif Program Penyuluhan")</f>
        <v>KPM165C - Perencanaan dan Evaluasi Partisipatif Program Penyuluhan</v>
      </c>
      <c r="B580" s="44">
        <v>579</v>
      </c>
      <c r="C580" s="35" t="str">
        <f t="shared" ca="1" si="21"/>
        <v>KPM165C</v>
      </c>
      <c r="D580" s="35" t="str">
        <f t="shared" ca="1" si="22"/>
        <v>Perencanaan dan Evaluasi Partisipatif Program Penyuluhan</v>
      </c>
      <c r="E580" s="44">
        <f ca="1">IFERROR(VLOOKUP(A580,Mentah!D:J,7,FALSE),"")</f>
        <v>2</v>
      </c>
      <c r="F580" s="44" t="str">
        <f ca="1">IFERROR(VLOOKUP(A580,Mentah!D:K,8,FALSE),"")</f>
        <v>I352</v>
      </c>
      <c r="G580" s="35" t="str">
        <f t="shared" ca="1" si="18"/>
        <v>('KPM165C','Perencanaan dan Evaluasi Partisipatif Program Penyuluhan','2','I352'),</v>
      </c>
    </row>
    <row r="581" spans="1:7" ht="12.5" x14ac:dyDescent="0.25">
      <c r="A581" s="9" t="str">
        <f ca="1">IFERROR(__xludf.DUMMYFUNCTION("""COMPUTED_VALUE"""),"KPM1564 - Transformasi dan Gerakan Agraria-Lingkungan")</f>
        <v>KPM1564 - Transformasi dan Gerakan Agraria-Lingkungan</v>
      </c>
      <c r="B581" s="44">
        <v>580</v>
      </c>
      <c r="C581" s="35" t="str">
        <f t="shared" ca="1" si="21"/>
        <v>KPM1564</v>
      </c>
      <c r="D581" s="35" t="str">
        <f t="shared" ca="1" si="22"/>
        <v>Transformasi dan Gerakan Agraria-Lingkungan</v>
      </c>
      <c r="E581" s="44">
        <f ca="1">IFERROR(VLOOKUP(A581,Mentah!D:J,7,FALSE),"")</f>
        <v>2</v>
      </c>
      <c r="F581" s="44" t="str">
        <f ca="1">IFERROR(VLOOKUP(A581,Mentah!D:K,8,FALSE),"")</f>
        <v>I353</v>
      </c>
      <c r="G581" s="35" t="str">
        <f t="shared" ca="1" si="18"/>
        <v>('KPM1564','Transformasi dan Gerakan Agraria-Lingkungan','2','I353'),</v>
      </c>
    </row>
    <row r="582" spans="1:7" ht="12.5" x14ac:dyDescent="0.25">
      <c r="A582" s="9" t="str">
        <f ca="1">IFERROR(__xludf.DUMMYFUNCTION("""COMPUTED_VALUE"""),"KPM153E - Sosiologi Digital")</f>
        <v>KPM153E - Sosiologi Digital</v>
      </c>
      <c r="B582" s="44">
        <v>581</v>
      </c>
      <c r="C582" s="35" t="str">
        <f t="shared" ca="1" si="21"/>
        <v>KPM153E</v>
      </c>
      <c r="D582" s="35" t="str">
        <f t="shared" ca="1" si="22"/>
        <v>Sosiologi Digital</v>
      </c>
      <c r="E582" s="44">
        <f ca="1">IFERROR(VLOOKUP(A582,Mentah!D:J,7,FALSE),"")</f>
        <v>2</v>
      </c>
      <c r="F582" s="44" t="str">
        <f ca="1">IFERROR(VLOOKUP(A582,Mentah!D:K,8,FALSE),"")</f>
        <v>I353</v>
      </c>
      <c r="G582" s="35" t="str">
        <f t="shared" ca="1" si="18"/>
        <v>('KPM153E','Sosiologi Digital','2','I353'),</v>
      </c>
    </row>
    <row r="583" spans="1:7" ht="12.5" x14ac:dyDescent="0.25">
      <c r="A583" s="9" t="str">
        <f ca="1">IFERROR(__xludf.DUMMYFUNCTION("""COMPUTED_VALUE"""),"KPM1560 - Ekologi Politik")</f>
        <v>KPM1560 - Ekologi Politik</v>
      </c>
      <c r="B583" s="44">
        <v>582</v>
      </c>
      <c r="C583" s="35" t="str">
        <f t="shared" ca="1" si="21"/>
        <v>KPM1560</v>
      </c>
      <c r="D583" s="35" t="str">
        <f t="shared" ca="1" si="22"/>
        <v>Ekologi Politik</v>
      </c>
      <c r="E583" s="44">
        <f ca="1">IFERROR(VLOOKUP(A583,Mentah!D:J,7,FALSE),"")</f>
        <v>2</v>
      </c>
      <c r="F583" s="44" t="str">
        <f ca="1">IFERROR(VLOOKUP(A583,Mentah!D:K,8,FALSE),"")</f>
        <v>I353</v>
      </c>
      <c r="G583" s="35" t="str">
        <f t="shared" ca="1" si="18"/>
        <v>('KPM1560','Ekologi Politik','2','I353'),</v>
      </c>
    </row>
    <row r="584" spans="1:7" ht="12.5" x14ac:dyDescent="0.25">
      <c r="A584" s="9" t="str">
        <f ca="1">IFERROR(__xludf.DUMMYFUNCTION("""COMPUTED_VALUE"""),"KPM1565 - Tata Kelola Agraria-Lingkungan dan Pembangunan Berkelanjutan")</f>
        <v>KPM1565 - Tata Kelola Agraria-Lingkungan dan Pembangunan Berkelanjutan</v>
      </c>
      <c r="B584" s="44">
        <v>583</v>
      </c>
      <c r="C584" s="35" t="str">
        <f t="shared" ca="1" si="21"/>
        <v>KPM1565</v>
      </c>
      <c r="D584" s="35" t="str">
        <f t="shared" ca="1" si="22"/>
        <v>Tata Kelola Agraria-Lingkungan dan Pembangunan Berkelanjutan</v>
      </c>
      <c r="E584" s="44">
        <f ca="1">IFERROR(VLOOKUP(A584,Mentah!D:J,7,FALSE),"")</f>
        <v>2</v>
      </c>
      <c r="F584" s="44" t="str">
        <f ca="1">IFERROR(VLOOKUP(A584,Mentah!D:K,8,FALSE),"")</f>
        <v>I353</v>
      </c>
      <c r="G584" s="35" t="str">
        <f t="shared" ca="1" si="18"/>
        <v>('KPM1565','Tata Kelola Agraria-Lingkungan dan Pembangunan Berkelanjutan','2','I353'),</v>
      </c>
    </row>
    <row r="585" spans="1:7" ht="12.5" x14ac:dyDescent="0.25">
      <c r="A585" s="9" t="str">
        <f ca="1">IFERROR(__xludf.DUMMYFUNCTION("""COMPUTED_VALUE"""),"KPM1575 - Relasi Komunitas Perdesaan dan Perkotaan")</f>
        <v>KPM1575 - Relasi Komunitas Perdesaan dan Perkotaan</v>
      </c>
      <c r="B585" s="44">
        <v>584</v>
      </c>
      <c r="C585" s="35" t="str">
        <f t="shared" ca="1" si="21"/>
        <v>KPM1575</v>
      </c>
      <c r="D585" s="35" t="str">
        <f t="shared" ca="1" si="22"/>
        <v>Relasi Komunitas Perdesaan dan Perkotaan</v>
      </c>
      <c r="E585" s="44">
        <f ca="1">IFERROR(VLOOKUP(A585,Mentah!D:J,7,FALSE),"")</f>
        <v>2</v>
      </c>
      <c r="F585" s="44" t="str">
        <f ca="1">IFERROR(VLOOKUP(A585,Mentah!D:K,8,FALSE),"")</f>
        <v>I353</v>
      </c>
      <c r="G585" s="35" t="str">
        <f t="shared" ca="1" si="18"/>
        <v>('KPM1575','Relasi Komunitas Perdesaan dan Perkotaan','2','I353'),</v>
      </c>
    </row>
    <row r="586" spans="1:7" ht="12.5" x14ac:dyDescent="0.25">
      <c r="A586" s="9" t="str">
        <f ca="1">IFERROR(__xludf.DUMMYFUNCTION("""COMPUTED_VALUE"""),"KPM153F - Data Presisi, Ekonomi-Politik, dan Kebudayaa Digital")</f>
        <v>KPM153F - Data Presisi, Ekonomi-Politik, dan Kebudayaa Digital</v>
      </c>
      <c r="B586" s="44">
        <v>585</v>
      </c>
      <c r="C586" s="35" t="str">
        <f t="shared" ca="1" si="21"/>
        <v>KPM153F</v>
      </c>
      <c r="D586" s="35" t="str">
        <f t="shared" ca="1" si="22"/>
        <v>Data Presisi, Ekonomi-Politik, dan Kebudayaa Digital</v>
      </c>
      <c r="E586" s="44">
        <f ca="1">IFERROR(VLOOKUP(A586,Mentah!D:J,7,FALSE),"")</f>
        <v>2</v>
      </c>
      <c r="F586" s="44" t="str">
        <f ca="1">IFERROR(VLOOKUP(A586,Mentah!D:K,8,FALSE),"")</f>
        <v>I353</v>
      </c>
      <c r="G586" s="35" t="str">
        <f t="shared" ca="1" si="18"/>
        <v>('KPM153F','Data Presisi, Ekonomi-Politik, dan Kebudayaa Digital','2','I353'),</v>
      </c>
    </row>
    <row r="587" spans="1:7" ht="12.5" x14ac:dyDescent="0.25">
      <c r="A587" s="9" t="str">
        <f ca="1">IFERROR(__xludf.DUMMYFUNCTION("""COMPUTED_VALUE"""),"KPM1574 - Sosiologi Komunitas Digital")</f>
        <v>KPM1574 - Sosiologi Komunitas Digital</v>
      </c>
      <c r="B587" s="44">
        <v>586</v>
      </c>
      <c r="C587" s="35" t="str">
        <f t="shared" ca="1" si="21"/>
        <v>KPM1574</v>
      </c>
      <c r="D587" s="35" t="str">
        <f t="shared" ca="1" si="22"/>
        <v>Sosiologi Komunitas Digital</v>
      </c>
      <c r="E587" s="44">
        <f ca="1">IFERROR(VLOOKUP(A587,Mentah!D:J,7,FALSE),"")</f>
        <v>2</v>
      </c>
      <c r="F587" s="44" t="str">
        <f ca="1">IFERROR(VLOOKUP(A587,Mentah!D:K,8,FALSE),"")</f>
        <v>I353</v>
      </c>
      <c r="G587" s="35" t="str">
        <f t="shared" ca="1" si="18"/>
        <v>('KPM1574','Sosiologi Komunitas Digital','2','I353'),</v>
      </c>
    </row>
    <row r="588" spans="1:7" ht="12.5" x14ac:dyDescent="0.25">
      <c r="A588" s="9" t="str">
        <f ca="1">IFERROR(__xludf.DUMMYFUNCTION("""COMPUTED_VALUE"""),"KPM1531 - Sosiologi Ekonomi Pedesaan")</f>
        <v>KPM1531 - Sosiologi Ekonomi Pedesaan</v>
      </c>
      <c r="B588" s="44">
        <v>587</v>
      </c>
      <c r="C588" s="35" t="str">
        <f t="shared" ca="1" si="21"/>
        <v>KPM1531</v>
      </c>
      <c r="D588" s="35" t="str">
        <f t="shared" ca="1" si="22"/>
        <v>Sosiologi Ekonomi Pedesaan</v>
      </c>
      <c r="E588" s="44">
        <f ca="1">IFERROR(VLOOKUP(A588,Mentah!D:J,7,FALSE),"")</f>
        <v>2</v>
      </c>
      <c r="F588" s="44" t="str">
        <f ca="1">IFERROR(VLOOKUP(A588,Mentah!D:K,8,FALSE),"")</f>
        <v>I353</v>
      </c>
      <c r="G588" s="35" t="str">
        <f t="shared" ca="1" si="18"/>
        <v>('KPM1531','Sosiologi Ekonomi Pedesaan','2','I353'),</v>
      </c>
    </row>
    <row r="589" spans="1:7" ht="12.5" x14ac:dyDescent="0.25">
      <c r="A589" s="9" t="str">
        <f ca="1">IFERROR(__xludf.DUMMYFUNCTION("""COMPUTED_VALUE"""),"KPM153G - Analisis dan Solusi Masalah Sosial Teknologi Digital")</f>
        <v>KPM153G - Analisis dan Solusi Masalah Sosial Teknologi Digital</v>
      </c>
      <c r="B589" s="44">
        <v>588</v>
      </c>
      <c r="C589" s="35" t="str">
        <f t="shared" ca="1" si="21"/>
        <v>KPM153G</v>
      </c>
      <c r="D589" s="35" t="str">
        <f t="shared" ca="1" si="22"/>
        <v>Analisis dan Solusi Masalah Sosial Teknologi Digital</v>
      </c>
      <c r="E589" s="44">
        <f ca="1">IFERROR(VLOOKUP(A589,Mentah!D:J,7,FALSE),"")</f>
        <v>2</v>
      </c>
      <c r="F589" s="44" t="str">
        <f ca="1">IFERROR(VLOOKUP(A589,Mentah!D:K,8,FALSE),"")</f>
        <v>I353</v>
      </c>
      <c r="G589" s="35" t="str">
        <f t="shared" ca="1" si="18"/>
        <v>('KPM153G','Analisis dan Solusi Masalah Sosial Teknologi Digital','2','I353'),</v>
      </c>
    </row>
    <row r="590" spans="1:7" ht="12.5" x14ac:dyDescent="0.25">
      <c r="A590" s="9" t="str">
        <f ca="1">IFERROR(__xludf.DUMMYFUNCTION("""COMPUTED_VALUE"""),"KPM1573 - Tata Kelola Pengembangan Masyarakat")</f>
        <v>KPM1573 - Tata Kelola Pengembangan Masyarakat</v>
      </c>
      <c r="B590" s="44">
        <v>589</v>
      </c>
      <c r="C590" s="35" t="str">
        <f t="shared" ca="1" si="21"/>
        <v>KPM1573</v>
      </c>
      <c r="D590" s="35" t="str">
        <f t="shared" ca="1" si="22"/>
        <v>Tata Kelola Pengembangan Masyarakat</v>
      </c>
      <c r="E590" s="44">
        <f ca="1">IFERROR(VLOOKUP(A590,Mentah!D:J,7,FALSE),"")</f>
        <v>2</v>
      </c>
      <c r="F590" s="44" t="str">
        <f ca="1">IFERROR(VLOOKUP(A590,Mentah!D:K,8,FALSE),"")</f>
        <v>I353</v>
      </c>
      <c r="G590" s="35" t="str">
        <f t="shared" ca="1" si="18"/>
        <v>('KPM1573','Tata Kelola Pengembangan Masyarakat','2','I353'),</v>
      </c>
    </row>
    <row r="591" spans="1:7" ht="12.5" x14ac:dyDescent="0.25">
      <c r="A591" s="9" t="str">
        <f ca="1">IFERROR(__xludf.DUMMYFUNCTION("""COMPUTED_VALUE"""),"KPM1572 - Analisis dan Kebijakan Sosial")</f>
        <v>KPM1572 - Analisis dan Kebijakan Sosial</v>
      </c>
      <c r="B591" s="44">
        <v>590</v>
      </c>
      <c r="C591" s="35" t="str">
        <f t="shared" ca="1" si="21"/>
        <v>KPM1572</v>
      </c>
      <c r="D591" s="35" t="str">
        <f t="shared" ca="1" si="22"/>
        <v>Analisis dan Kebijakan Sosial</v>
      </c>
      <c r="E591" s="44">
        <f ca="1">IFERROR(VLOOKUP(A591,Mentah!D:J,7,FALSE),"")</f>
        <v>2</v>
      </c>
      <c r="F591" s="44" t="str">
        <f ca="1">IFERROR(VLOOKUP(A591,Mentah!D:K,8,FALSE),"")</f>
        <v>I353</v>
      </c>
      <c r="G591" s="35" t="str">
        <f t="shared" ca="1" si="18"/>
        <v>('KPM1572','Analisis dan Kebijakan Sosial','2','I353'),</v>
      </c>
    </row>
    <row r="592" spans="1:7" ht="12.5" x14ac:dyDescent="0.25">
      <c r="A592" s="9" t="str">
        <f ca="1">IFERROR(__xludf.DUMMYFUNCTION("""COMPUTED_VALUE"""),"KPM153C - Metodologi Penelitian Sosiologi Pedesaan")</f>
        <v>KPM153C - Metodologi Penelitian Sosiologi Pedesaan</v>
      </c>
      <c r="B592" s="44">
        <v>591</v>
      </c>
      <c r="C592" s="35" t="str">
        <f t="shared" ca="1" si="21"/>
        <v>KPM153C</v>
      </c>
      <c r="D592" s="35" t="str">
        <f t="shared" ca="1" si="22"/>
        <v>Metodologi Penelitian Sosiologi Pedesaan</v>
      </c>
      <c r="E592" s="44">
        <f ca="1">IFERROR(VLOOKUP(A592,Mentah!D:J,7,FALSE),"")</f>
        <v>2</v>
      </c>
      <c r="F592" s="44" t="str">
        <f ca="1">IFERROR(VLOOKUP(A592,Mentah!D:K,8,FALSE),"")</f>
        <v>I353</v>
      </c>
      <c r="G592" s="35" t="str">
        <f t="shared" ca="1" si="18"/>
        <v>('KPM153C','Metodologi Penelitian Sosiologi Pedesaan','2','I353'),</v>
      </c>
    </row>
    <row r="593" spans="1:7" ht="12.5" x14ac:dyDescent="0.25">
      <c r="A593" s="9" t="str">
        <f ca="1">IFERROR(__xludf.DUMMYFUNCTION("""COMPUTED_VALUE"""),"SBI151A - Ekonomi Manajerial dan Strategi Bisnis")</f>
        <v>SBI151A - Ekonomi Manajerial dan Strategi Bisnis</v>
      </c>
      <c r="B593" s="44">
        <v>592</v>
      </c>
      <c r="C593" s="35" t="str">
        <f t="shared" ca="1" si="21"/>
        <v>SBI151A</v>
      </c>
      <c r="D593" s="35" t="str">
        <f t="shared" ca="1" si="22"/>
        <v>Ekonomi Manajerial dan Strategi Bisnis</v>
      </c>
      <c r="E593" s="44">
        <f ca="1">IFERROR(VLOOKUP(A593,Mentah!D:J,7,FALSE),"")</f>
        <v>2</v>
      </c>
      <c r="F593" s="44" t="str">
        <f ca="1">IFERROR(VLOOKUP(A593,Mentah!D:K,8,FALSE),"")</f>
        <v>K151</v>
      </c>
      <c r="G593" s="35" t="str">
        <f t="shared" ca="1" si="18"/>
        <v>('SBI151A','Ekonomi Manajerial dan Strategi Bisnis','2','K151'),</v>
      </c>
    </row>
    <row r="594" spans="1:7" ht="12.5" x14ac:dyDescent="0.25">
      <c r="A594" s="9" t="str">
        <f ca="1">IFERROR(__xludf.DUMMYFUNCTION("""COMPUTED_VALUE"""),"SBI1539 - Metode Kuantitatif untuk Bisnis")</f>
        <v>SBI1539 - Metode Kuantitatif untuk Bisnis</v>
      </c>
      <c r="B594" s="44">
        <v>593</v>
      </c>
      <c r="C594" s="35" t="str">
        <f t="shared" ca="1" si="21"/>
        <v>SBI1539</v>
      </c>
      <c r="D594" s="35" t="str">
        <f t="shared" ca="1" si="22"/>
        <v>Metode Kuantitatif untuk Bisnis</v>
      </c>
      <c r="E594" s="44">
        <f ca="1">IFERROR(VLOOKUP(A594,Mentah!D:J,7,FALSE),"")</f>
        <v>1</v>
      </c>
      <c r="F594" s="44" t="str">
        <f ca="1">IFERROR(VLOOKUP(A594,Mentah!D:K,8,FALSE),"")</f>
        <v>K151</v>
      </c>
      <c r="G594" s="35" t="str">
        <f t="shared" ca="1" si="18"/>
        <v>('SBI1539','Metode Kuantitatif untuk Bisnis','1','K151'),</v>
      </c>
    </row>
    <row r="595" spans="1:7" ht="12.5" x14ac:dyDescent="0.25">
      <c r="A595" s="9" t="str">
        <f ca="1">IFERROR(__xludf.DUMMYFUNCTION("""COMPUTED_VALUE"""),"SBI1519 - Etika Bisnis dan Inovasi untuk Keberlanjutan")</f>
        <v>SBI1519 - Etika Bisnis dan Inovasi untuk Keberlanjutan</v>
      </c>
      <c r="B595" s="44">
        <v>594</v>
      </c>
      <c r="C595" s="35" t="str">
        <f t="shared" ca="1" si="21"/>
        <v>SBI1519</v>
      </c>
      <c r="D595" s="35" t="str">
        <f t="shared" ca="1" si="22"/>
        <v>Etika Bisnis dan Inovasi untuk Keberlanjutan</v>
      </c>
      <c r="E595" s="44">
        <f ca="1">IFERROR(VLOOKUP(A595,Mentah!D:J,7,FALSE),"")</f>
        <v>1</v>
      </c>
      <c r="F595" s="44" t="str">
        <f ca="1">IFERROR(VLOOKUP(A595,Mentah!D:K,8,FALSE),"")</f>
        <v>K151</v>
      </c>
      <c r="G595" s="35" t="str">
        <f t="shared" ca="1" si="18"/>
        <v>('SBI1519','Etika Bisnis dan Inovasi untuk Keberlanjutan','1','K151'),</v>
      </c>
    </row>
    <row r="596" spans="1:7" ht="12.5" x14ac:dyDescent="0.25">
      <c r="A596" s="9" t="str">
        <f ca="1">IFERROR(__xludf.DUMMYFUNCTION("""COMPUTED_VALUE"""),"SBI152B - Start Up Bio Bisnis")</f>
        <v>SBI152B - Start Up Bio Bisnis</v>
      </c>
      <c r="B596" s="44">
        <v>595</v>
      </c>
      <c r="C596" s="35" t="str">
        <f t="shared" ca="1" si="21"/>
        <v>SBI152B</v>
      </c>
      <c r="D596" s="35" t="str">
        <f t="shared" ca="1" si="22"/>
        <v>Start Up Bio Bisnis</v>
      </c>
      <c r="E596" s="44">
        <f ca="1">IFERROR(VLOOKUP(A596,Mentah!D:J,7,FALSE),"")</f>
        <v>2</v>
      </c>
      <c r="F596" s="44" t="str">
        <f ca="1">IFERROR(VLOOKUP(A596,Mentah!D:K,8,FALSE),"")</f>
        <v>K151</v>
      </c>
      <c r="G596" s="35" t="str">
        <f t="shared" ca="1" si="18"/>
        <v>('SBI152B','Start Up Bio Bisnis','2','K151'),</v>
      </c>
    </row>
    <row r="597" spans="1:7" ht="12.5" x14ac:dyDescent="0.25">
      <c r="A597" s="9" t="str">
        <f ca="1">IFERROR(__xludf.DUMMYFUNCTION("""COMPUTED_VALUE"""),"SBI1547 - Bisnis Internasional")</f>
        <v>SBI1547 - Bisnis Internasional</v>
      </c>
      <c r="B597" s="44">
        <v>596</v>
      </c>
      <c r="C597" s="35" t="str">
        <f t="shared" ca="1" si="21"/>
        <v>SBI1547</v>
      </c>
      <c r="D597" s="35" t="str">
        <f t="shared" ca="1" si="22"/>
        <v>Bisnis Internasional</v>
      </c>
      <c r="E597" s="44">
        <f ca="1">IFERROR(VLOOKUP(A597,Mentah!D:J,7,FALSE),"")</f>
        <v>2</v>
      </c>
      <c r="F597" s="44" t="str">
        <f ca="1">IFERROR(VLOOKUP(A597,Mentah!D:K,8,FALSE),"")</f>
        <v>K151</v>
      </c>
      <c r="G597" s="35" t="str">
        <f t="shared" ca="1" si="18"/>
        <v>('SBI1547','Bisnis Internasional','2','K151'),</v>
      </c>
    </row>
    <row r="598" spans="1:7" ht="12.5" x14ac:dyDescent="0.25">
      <c r="A598" s="9" t="str">
        <f ca="1">IFERROR(__xludf.DUMMYFUNCTION("""COMPUTED_VALUE"""),"SBI154I - Teknik-teknik Penilaian Risiko")</f>
        <v>SBI154I - Teknik-teknik Penilaian Risiko</v>
      </c>
      <c r="B598" s="44">
        <v>597</v>
      </c>
      <c r="C598" s="35" t="str">
        <f t="shared" ca="1" si="21"/>
        <v>SBI154I</v>
      </c>
      <c r="D598" s="35" t="str">
        <f t="shared" ca="1" si="22"/>
        <v>Teknik-teknik Penilaian Risiko</v>
      </c>
      <c r="E598" s="44">
        <f ca="1">IFERROR(VLOOKUP(A598,Mentah!D:J,7,FALSE),"")</f>
        <v>2</v>
      </c>
      <c r="F598" s="44" t="str">
        <f ca="1">IFERROR(VLOOKUP(A598,Mentah!D:K,8,FALSE),"")</f>
        <v>K151</v>
      </c>
      <c r="G598" s="35" t="str">
        <f t="shared" ca="1" si="18"/>
        <v>('SBI154I','Teknik-teknik Penilaian Risiko','2','K151'),</v>
      </c>
    </row>
    <row r="599" spans="1:7" ht="12.5" x14ac:dyDescent="0.25">
      <c r="A599" s="9" t="str">
        <f ca="1">IFERROR(__xludf.DUMMYFUNCTION("""COMPUTED_VALUE"""),"SBI1527 - Bisnis dan Pola Pikir Kewirausahaan")</f>
        <v>SBI1527 - Bisnis dan Pola Pikir Kewirausahaan</v>
      </c>
      <c r="B599" s="44">
        <v>598</v>
      </c>
      <c r="C599" s="35" t="str">
        <f t="shared" ca="1" si="21"/>
        <v>SBI1527</v>
      </c>
      <c r="D599" s="35" t="str">
        <f t="shared" ca="1" si="22"/>
        <v>Bisnis dan Pola Pikir Kewirausahaan</v>
      </c>
      <c r="E599" s="44">
        <f ca="1">IFERROR(VLOOKUP(A599,Mentah!D:J,7,FALSE),"")</f>
        <v>1</v>
      </c>
      <c r="F599" s="44" t="str">
        <f ca="1">IFERROR(VLOOKUP(A599,Mentah!D:K,8,FALSE),"")</f>
        <v>K151</v>
      </c>
      <c r="G599" s="35" t="str">
        <f t="shared" ca="1" si="18"/>
        <v>('SBI1527','Bisnis dan Pola Pikir Kewirausahaan','1','K151'),</v>
      </c>
    </row>
    <row r="600" spans="1:7" ht="12.5" x14ac:dyDescent="0.25">
      <c r="A600" s="9" t="str">
        <f ca="1">IFERROR(__xludf.DUMMYFUNCTION("""COMPUTED_VALUE"""),"SBI1529 - Design Thinking dan Inovasi Korporat")</f>
        <v>SBI1529 - Design Thinking dan Inovasi Korporat</v>
      </c>
      <c r="B600" s="44">
        <v>599</v>
      </c>
      <c r="C600" s="35" t="str">
        <f t="shared" ca="1" si="21"/>
        <v>SBI1529</v>
      </c>
      <c r="D600" s="35" t="str">
        <f t="shared" ca="1" si="22"/>
        <v>Design Thinking dan Inovasi Korporat</v>
      </c>
      <c r="E600" s="44">
        <f ca="1">IFERROR(VLOOKUP(A600,Mentah!D:J,7,FALSE),"")</f>
        <v>2</v>
      </c>
      <c r="F600" s="44" t="str">
        <f ca="1">IFERROR(VLOOKUP(A600,Mentah!D:K,8,FALSE),"")</f>
        <v>K151</v>
      </c>
      <c r="G600" s="35" t="str">
        <f t="shared" ca="1" si="18"/>
        <v>('SBI1529','Design Thinking dan Inovasi Korporat','2','K151'),</v>
      </c>
    </row>
    <row r="601" spans="1:7" ht="12.5" x14ac:dyDescent="0.25">
      <c r="A601" s="9" t="str">
        <f ca="1">IFERROR(__xludf.DUMMYFUNCTION("""COMPUTED_VALUE"""),"SBI1538 - Analitika Bisnis")</f>
        <v>SBI1538 - Analitika Bisnis</v>
      </c>
      <c r="B601" s="44">
        <v>600</v>
      </c>
      <c r="C601" s="35" t="str">
        <f t="shared" ca="1" si="21"/>
        <v>SBI1538</v>
      </c>
      <c r="D601" s="35" t="str">
        <f t="shared" ca="1" si="22"/>
        <v>Analitika Bisnis</v>
      </c>
      <c r="E601" s="44">
        <f ca="1">IFERROR(VLOOKUP(A601,Mentah!D:J,7,FALSE),"")</f>
        <v>1</v>
      </c>
      <c r="F601" s="44" t="str">
        <f ca="1">IFERROR(VLOOKUP(A601,Mentah!D:K,8,FALSE),"")</f>
        <v>K151</v>
      </c>
      <c r="G601" s="35" t="str">
        <f t="shared" ca="1" si="18"/>
        <v>('SBI1538','Analitika Bisnis','1','K151'),</v>
      </c>
    </row>
    <row r="602" spans="1:7" ht="12.5" x14ac:dyDescent="0.25">
      <c r="A602" s="9" t="str">
        <f ca="1">IFERROR(__xludf.DUMMYFUNCTION("""COMPUTED_VALUE"""),"SBI1548 - Kapita Selekta Bisnis dan Manajemen")</f>
        <v>SBI1548 - Kapita Selekta Bisnis dan Manajemen</v>
      </c>
      <c r="B602" s="44">
        <v>601</v>
      </c>
      <c r="C602" s="35" t="str">
        <f t="shared" ca="1" si="21"/>
        <v>SBI1548</v>
      </c>
      <c r="D602" s="35" t="str">
        <f t="shared" ca="1" si="22"/>
        <v>Kapita Selekta Bisnis dan Manajemen</v>
      </c>
      <c r="E602" s="44">
        <f ca="1">IFERROR(VLOOKUP(A602,Mentah!D:J,7,FALSE),"")</f>
        <v>2</v>
      </c>
      <c r="F602" s="44" t="str">
        <f ca="1">IFERROR(VLOOKUP(A602,Mentah!D:K,8,FALSE),"")</f>
        <v>K151</v>
      </c>
      <c r="G602" s="35" t="str">
        <f t="shared" ca="1" si="18"/>
        <v>('SBI1548','Kapita Selekta Bisnis dan Manajemen','2','K151'),</v>
      </c>
    </row>
    <row r="603" spans="1:7" ht="12.5" x14ac:dyDescent="0.25">
      <c r="A603" s="9" t="str">
        <f ca="1">IFERROR(__xludf.DUMMYFUNCTION("""COMPUTED_VALUE"""),"SBI1518 - Komunikasi Bisnis")</f>
        <v>SBI1518 - Komunikasi Bisnis</v>
      </c>
      <c r="B603" s="44">
        <v>602</v>
      </c>
      <c r="C603" s="35" t="str">
        <f t="shared" ca="1" si="21"/>
        <v>SBI1518</v>
      </c>
      <c r="D603" s="35" t="str">
        <f t="shared" ca="1" si="22"/>
        <v>Komunikasi Bisnis</v>
      </c>
      <c r="E603" s="44">
        <f ca="1">IFERROR(VLOOKUP(A603,Mentah!D:J,7,FALSE),"")</f>
        <v>1</v>
      </c>
      <c r="F603" s="44" t="str">
        <f ca="1">IFERROR(VLOOKUP(A603,Mentah!D:K,8,FALSE),"")</f>
        <v>K151</v>
      </c>
      <c r="G603" s="35" t="str">
        <f t="shared" ca="1" si="18"/>
        <v>('SBI1518','Komunikasi Bisnis','1','K151'),</v>
      </c>
    </row>
    <row r="604" spans="1:7" ht="12.5" x14ac:dyDescent="0.25">
      <c r="A604" s="9" t="str">
        <f ca="1">IFERROR(__xludf.DUMMYFUNCTION("""COMPUTED_VALUE"""),"SBI151C - Manajemen Perubahan Strategik")</f>
        <v>SBI151C - Manajemen Perubahan Strategik</v>
      </c>
      <c r="B604" s="44">
        <v>603</v>
      </c>
      <c r="C604" s="35" t="str">
        <f t="shared" ca="1" si="21"/>
        <v>SBI151C</v>
      </c>
      <c r="D604" s="35" t="str">
        <f t="shared" ca="1" si="22"/>
        <v>Manajemen Perubahan Strategik</v>
      </c>
      <c r="E604" s="44">
        <f ca="1">IFERROR(VLOOKUP(A604,Mentah!D:J,7,FALSE),"")</f>
        <v>2</v>
      </c>
      <c r="F604" s="44" t="str">
        <f ca="1">IFERROR(VLOOKUP(A604,Mentah!D:K,8,FALSE),"")</f>
        <v>K151</v>
      </c>
      <c r="G604" s="35" t="str">
        <f t="shared" ca="1" si="18"/>
        <v>('SBI151C','Manajemen Perubahan Strategik','2','K151'),</v>
      </c>
    </row>
    <row r="605" spans="1:7" ht="12.5" x14ac:dyDescent="0.25">
      <c r="A605" s="9" t="str">
        <f ca="1">IFERROR(__xludf.DUMMYFUNCTION("""COMPUTED_VALUE"""),"SBI153C - Sistem Cerdas Pendukung Pengambilan Keputusan")</f>
        <v>SBI153C - Sistem Cerdas Pendukung Pengambilan Keputusan</v>
      </c>
      <c r="B605" s="44">
        <v>604</v>
      </c>
      <c r="C605" s="35" t="str">
        <f t="shared" ca="1" si="21"/>
        <v>SBI153C</v>
      </c>
      <c r="D605" s="35" t="str">
        <f t="shared" ca="1" si="22"/>
        <v>Sistem Cerdas Pendukung Pengambilan Keputusan</v>
      </c>
      <c r="E605" s="44">
        <f ca="1">IFERROR(VLOOKUP(A605,Mentah!D:J,7,FALSE),"")</f>
        <v>2</v>
      </c>
      <c r="F605" s="44" t="str">
        <f ca="1">IFERROR(VLOOKUP(A605,Mentah!D:K,8,FALSE),"")</f>
        <v>K151</v>
      </c>
      <c r="G605" s="35" t="str">
        <f t="shared" ca="1" si="18"/>
        <v>('SBI153C','Sistem Cerdas Pendukung Pengambilan Keputusan','2','K151'),</v>
      </c>
    </row>
    <row r="606" spans="1:7" ht="12.5" x14ac:dyDescent="0.25">
      <c r="A606" s="9" t="str">
        <f ca="1">IFERROR(__xludf.DUMMYFUNCTION("""COMPUTED_VALUE"""),"SBI154A - Manajemen Investasi dan Portofolio")</f>
        <v>SBI154A - Manajemen Investasi dan Portofolio</v>
      </c>
      <c r="B606" s="44">
        <v>605</v>
      </c>
      <c r="C606" s="35" t="str">
        <f t="shared" ca="1" si="21"/>
        <v>SBI154A</v>
      </c>
      <c r="D606" s="35" t="str">
        <f t="shared" ca="1" si="22"/>
        <v>Manajemen Investasi dan Portofolio</v>
      </c>
      <c r="E606" s="44">
        <f ca="1">IFERROR(VLOOKUP(A606,Mentah!D:J,7,FALSE),"")</f>
        <v>2</v>
      </c>
      <c r="F606" s="44" t="str">
        <f ca="1">IFERROR(VLOOKUP(A606,Mentah!D:K,8,FALSE),"")</f>
        <v>K151</v>
      </c>
      <c r="G606" s="35" t="str">
        <f t="shared" ca="1" si="18"/>
        <v>('SBI154A','Manajemen Investasi dan Portofolio','2','K151'),</v>
      </c>
    </row>
    <row r="607" spans="1:7" ht="12.5" x14ac:dyDescent="0.25">
      <c r="A607" s="9" t="str">
        <f ca="1">IFERROR(__xludf.DUMMYFUNCTION("""COMPUTED_VALUE"""),"SBI1528 - Kepemimpinan Intrapreneurial")</f>
        <v>SBI1528 - Kepemimpinan Intrapreneurial</v>
      </c>
      <c r="B607" s="44">
        <v>606</v>
      </c>
      <c r="C607" s="35" t="str">
        <f t="shared" ca="1" si="21"/>
        <v>SBI1528</v>
      </c>
      <c r="D607" s="35" t="str">
        <f t="shared" ca="1" si="22"/>
        <v>Kepemimpinan Intrapreneurial</v>
      </c>
      <c r="E607" s="44">
        <f ca="1">IFERROR(VLOOKUP(A607,Mentah!D:J,7,FALSE),"")</f>
        <v>1</v>
      </c>
      <c r="F607" s="44" t="str">
        <f ca="1">IFERROR(VLOOKUP(A607,Mentah!D:K,8,FALSE),"")</f>
        <v>K151</v>
      </c>
      <c r="G607" s="35" t="str">
        <f t="shared" ca="1" si="18"/>
        <v>('SBI1528','Kepemimpinan Intrapreneurial','1','K151'),</v>
      </c>
    </row>
    <row r="608" spans="1:7" ht="12.5" x14ac:dyDescent="0.25">
      <c r="A608" s="9" t="str">
        <f ca="1">IFERROR(__xludf.DUMMYFUNCTION("""COMPUTED_VALUE"""),"SBI153A - Metode Riset Bisnis")</f>
        <v>SBI153A - Metode Riset Bisnis</v>
      </c>
      <c r="B608" s="44">
        <v>607</v>
      </c>
      <c r="C608" s="35" t="str">
        <f t="shared" ca="1" si="21"/>
        <v>SBI153A</v>
      </c>
      <c r="D608" s="35" t="str">
        <f t="shared" ca="1" si="22"/>
        <v>Metode Riset Bisnis</v>
      </c>
      <c r="E608" s="44">
        <f ca="1">IFERROR(VLOOKUP(A608,Mentah!D:J,7,FALSE),"")</f>
        <v>2</v>
      </c>
      <c r="F608" s="44" t="str">
        <f ca="1">IFERROR(VLOOKUP(A608,Mentah!D:K,8,FALSE),"")</f>
        <v>K151</v>
      </c>
      <c r="G608" s="35" t="str">
        <f t="shared" ca="1" si="18"/>
        <v>('SBI153A','Metode Riset Bisnis','2','K151'),</v>
      </c>
    </row>
    <row r="609" spans="1:7" ht="12.5" x14ac:dyDescent="0.25">
      <c r="A609" s="9" t="str">
        <f ca="1">IFERROR(__xludf.DUMMYFUNCTION("""COMPUTED_VALUE"""),"SBI151B - Teknik-teknik Perencanaan Strategik")</f>
        <v>SBI151B - Teknik-teknik Perencanaan Strategik</v>
      </c>
      <c r="B609" s="44">
        <v>608</v>
      </c>
      <c r="C609" s="35" t="str">
        <f t="shared" ca="1" si="21"/>
        <v>SBI151B</v>
      </c>
      <c r="D609" s="35" t="str">
        <f t="shared" ca="1" si="22"/>
        <v>Teknik-teknik Perencanaan Strategik</v>
      </c>
      <c r="E609" s="44">
        <f ca="1">IFERROR(VLOOKUP(A609,Mentah!D:J,7,FALSE),"")</f>
        <v>2</v>
      </c>
      <c r="F609" s="44" t="str">
        <f ca="1">IFERROR(VLOOKUP(A609,Mentah!D:K,8,FALSE),"")</f>
        <v>K151</v>
      </c>
      <c r="G609" s="35" t="str">
        <f t="shared" ca="1" si="18"/>
        <v>('SBI151B','Teknik-teknik Perencanaan Strategik','2','K151'),</v>
      </c>
    </row>
    <row r="610" spans="1:7" ht="12.5" x14ac:dyDescent="0.25">
      <c r="A610" s="9" t="str">
        <f ca="1">IFERROR(__xludf.DUMMYFUNCTION("""COMPUTED_VALUE"""),"SBI153B - Sistem Manajemen Data untuk Bisnis")</f>
        <v>SBI153B - Sistem Manajemen Data untuk Bisnis</v>
      </c>
      <c r="B610" s="44">
        <v>609</v>
      </c>
      <c r="C610" s="35" t="str">
        <f t="shared" ca="1" si="21"/>
        <v>SBI153B</v>
      </c>
      <c r="D610" s="35" t="str">
        <f t="shared" ca="1" si="22"/>
        <v>Sistem Manajemen Data untuk Bisnis</v>
      </c>
      <c r="E610" s="44">
        <f ca="1">IFERROR(VLOOKUP(A610,Mentah!D:J,7,FALSE),"")</f>
        <v>2</v>
      </c>
      <c r="F610" s="44" t="str">
        <f ca="1">IFERROR(VLOOKUP(A610,Mentah!D:K,8,FALSE),"")</f>
        <v>K151</v>
      </c>
      <c r="G610" s="35" t="str">
        <f t="shared" ca="1" si="18"/>
        <v>('SBI153B','Sistem Manajemen Data untuk Bisnis','2','K151'),</v>
      </c>
    </row>
    <row r="611" spans="1:7" ht="12.5" x14ac:dyDescent="0.25">
      <c r="A611" s="9" t="str">
        <f ca="1">IFERROR(__xludf.DUMMYFUNCTION("""COMPUTED_VALUE"""),"SBI1549 - Pembelanjaan Perusahaan")</f>
        <v>SBI1549 - Pembelanjaan Perusahaan</v>
      </c>
      <c r="B611" s="44">
        <v>610</v>
      </c>
      <c r="C611" s="35" t="str">
        <f t="shared" ca="1" si="21"/>
        <v>SBI1549</v>
      </c>
      <c r="D611" s="35" t="str">
        <f t="shared" ca="1" si="22"/>
        <v>Pembelanjaan Perusahaan</v>
      </c>
      <c r="E611" s="44">
        <f ca="1">IFERROR(VLOOKUP(A611,Mentah!D:J,7,FALSE),"")</f>
        <v>2</v>
      </c>
      <c r="F611" s="44" t="str">
        <f ca="1">IFERROR(VLOOKUP(A611,Mentah!D:K,8,FALSE),"")</f>
        <v>K151</v>
      </c>
      <c r="G611" s="35" t="str">
        <f t="shared" ca="1" si="18"/>
        <v>('SBI1549','Pembelanjaan Perusahaan','2','K151'),</v>
      </c>
    </row>
    <row r="612" spans="1:7" ht="12.5" x14ac:dyDescent="0.25">
      <c r="A612" s="9" t="str">
        <f ca="1">IFERROR(__xludf.DUMMYFUNCTION("""COMPUTED_VALUE"""),"SBI152A - Inovasi Bio Bisnis")</f>
        <v>SBI152A - Inovasi Bio Bisnis</v>
      </c>
      <c r="B612" s="44">
        <v>611</v>
      </c>
      <c r="C612" s="35" t="str">
        <f t="shared" ca="1" si="21"/>
        <v>SBI152A</v>
      </c>
      <c r="D612" s="35" t="str">
        <f t="shared" ca="1" si="22"/>
        <v>Inovasi Bio Bisnis</v>
      </c>
      <c r="E612" s="44">
        <f ca="1">IFERROR(VLOOKUP(A612,Mentah!D:J,7,FALSE),"")</f>
        <v>2</v>
      </c>
      <c r="F612" s="44" t="str">
        <f ca="1">IFERROR(VLOOKUP(A612,Mentah!D:K,8,FALSE),"")</f>
        <v>K151</v>
      </c>
      <c r="G612" s="35" t="str">
        <f t="shared" ca="1" si="18"/>
        <v>('SBI152A','Inovasi Bio Bisnis','2','K151'),</v>
      </c>
    </row>
    <row r="613" spans="1:7" ht="12.5" x14ac:dyDescent="0.25">
      <c r="A613" s="9" t="str">
        <f ca="1">IFERROR(__xludf.DUMMYFUNCTION("""COMPUTED_VALUE"""),"SBI1546 - Riset Pasar dan Konsumen")</f>
        <v>SBI1546 - Riset Pasar dan Konsumen</v>
      </c>
      <c r="B613" s="44">
        <v>612</v>
      </c>
      <c r="C613" s="35" t="str">
        <f t="shared" ca="1" si="21"/>
        <v>SBI1546</v>
      </c>
      <c r="D613" s="35" t="str">
        <f t="shared" ca="1" si="22"/>
        <v>Riset Pasar dan Konsumen</v>
      </c>
      <c r="E613" s="44">
        <f ca="1">IFERROR(VLOOKUP(A613,Mentah!D:J,7,FALSE),"")</f>
        <v>2</v>
      </c>
      <c r="F613" s="44" t="str">
        <f ca="1">IFERROR(VLOOKUP(A613,Mentah!D:K,8,FALSE),"")</f>
        <v>K151</v>
      </c>
      <c r="G613" s="35" t="str">
        <f t="shared" ca="1" si="18"/>
        <v>('SBI1546','Riset Pasar dan Konsumen','2','K151'),</v>
      </c>
    </row>
    <row r="614" spans="1:7" ht="12.5" x14ac:dyDescent="0.25">
      <c r="A614" s="9" t="str">
        <f ca="1">IFERROR(__xludf.DUMMYFUNCTION("""COMPUTED_VALUE"""),"SBI154H - Manajemen Risiko Terpadu")</f>
        <v>SBI154H - Manajemen Risiko Terpadu</v>
      </c>
      <c r="B614" s="44">
        <v>613</v>
      </c>
      <c r="C614" s="35" t="str">
        <f t="shared" ca="1" si="21"/>
        <v>SBI154H</v>
      </c>
      <c r="D614" s="35" t="str">
        <f t="shared" ca="1" si="22"/>
        <v>Manajemen Risiko Terpadu</v>
      </c>
      <c r="E614" s="44">
        <f ca="1">IFERROR(VLOOKUP(A614,Mentah!D:J,7,FALSE),"")</f>
        <v>2</v>
      </c>
      <c r="F614" s="44" t="str">
        <f ca="1">IFERROR(VLOOKUP(A614,Mentah!D:K,8,FALSE),"")</f>
        <v>K151</v>
      </c>
      <c r="G614" s="35" t="str">
        <f t="shared" ca="1" si="18"/>
        <v>('SBI154H','Manajemen Risiko Terpadu','2','K151'),</v>
      </c>
    </row>
    <row r="615" spans="1:7" ht="12.5" x14ac:dyDescent="0.25">
      <c r="A615" s="9" t="str">
        <f ca="1">IFERROR(__xludf.DUMMYFUNCTION("""COMPUTED_VALUE"""),"SBI154E - Manajemen Pengetahuan")</f>
        <v>SBI154E - Manajemen Pengetahuan</v>
      </c>
      <c r="B615" s="44">
        <v>614</v>
      </c>
      <c r="C615" s="35" t="str">
        <f t="shared" ca="1" si="21"/>
        <v>SBI154E</v>
      </c>
      <c r="D615" s="35" t="str">
        <f t="shared" ca="1" si="22"/>
        <v>Manajemen Pengetahuan</v>
      </c>
      <c r="E615" s="44">
        <f ca="1">IFERROR(VLOOKUP(A615,Mentah!D:J,7,FALSE),"")</f>
        <v>2</v>
      </c>
      <c r="F615" s="44" t="str">
        <f ca="1">IFERROR(VLOOKUP(A615,Mentah!D:K,8,FALSE),"")</f>
        <v>K151</v>
      </c>
      <c r="G615" s="35" t="str">
        <f t="shared" ca="1" si="18"/>
        <v>('SBI154E','Manajemen Pengetahuan','2','K151'),</v>
      </c>
    </row>
    <row r="616" spans="1:7" ht="12.5" x14ac:dyDescent="0.25">
      <c r="A616" s="9" t="str">
        <f ca="1">IFERROR(__xludf.DUMMYFUNCTION("""COMPUTED_VALUE"""),"PPS1503 - Bahasa Inggris")</f>
        <v>PPS1503 - Bahasa Inggris</v>
      </c>
      <c r="B616" s="44">
        <v>615</v>
      </c>
      <c r="C616" s="35" t="str">
        <f t="shared" ca="1" si="21"/>
        <v>PPS1503</v>
      </c>
      <c r="D616" s="35" t="str">
        <f t="shared" ca="1" si="22"/>
        <v>Bahasa Inggris</v>
      </c>
      <c r="E616" s="44">
        <f ca="1">IFERROR(VLOOKUP(A616,Mentah!D:J,7,FALSE),"")</f>
        <v>2</v>
      </c>
      <c r="F616" s="44" t="str">
        <f ca="1">IFERROR(VLOOKUP(A616,Mentah!D:K,8,FALSE),"")</f>
        <v>K151</v>
      </c>
      <c r="G616" s="35" t="str">
        <f t="shared" ca="1" si="18"/>
        <v>('PPS1503','Bahasa Inggris','2','K151'),</v>
      </c>
    </row>
    <row r="617" spans="1:7" ht="12.5" x14ac:dyDescent="0.25">
      <c r="A617" s="9" t="str">
        <f ca="1">IFERROR(__xludf.DUMMYFUNCTION("""COMPUTED_VALUE"""),"SBI154D - Manajemen Kinerja Sumberdaya")</f>
        <v>SBI154D - Manajemen Kinerja Sumberdaya</v>
      </c>
      <c r="B617" s="44">
        <v>616</v>
      </c>
      <c r="C617" s="35" t="str">
        <f t="shared" ca="1" si="21"/>
        <v>SBI154D</v>
      </c>
      <c r="D617" s="35" t="str">
        <f t="shared" ca="1" si="22"/>
        <v>Manajemen Kinerja Sumberdaya</v>
      </c>
      <c r="E617" s="44">
        <f ca="1">IFERROR(VLOOKUP(A617,Mentah!D:J,7,FALSE),"")</f>
        <v>2</v>
      </c>
      <c r="F617" s="44" t="str">
        <f ca="1">IFERROR(VLOOKUP(A617,Mentah!D:K,8,FALSE),"")</f>
        <v>K151</v>
      </c>
      <c r="G617" s="35" t="str">
        <f t="shared" ca="1" si="18"/>
        <v>('SBI154D','Manajemen Kinerja Sumberdaya','2','K151'),</v>
      </c>
    </row>
    <row r="618" spans="1:7" ht="12.5" x14ac:dyDescent="0.25">
      <c r="A618" s="9" t="str">
        <f ca="1">IFERROR(__xludf.DUMMYFUNCTION("""COMPUTED_VALUE"""),"BTK1528 - Bioteknologi Pertambangan dan Reklamasi Lahan")</f>
        <v>BTK1528 - Bioteknologi Pertambangan dan Reklamasi Lahan</v>
      </c>
      <c r="B618" s="44">
        <v>617</v>
      </c>
      <c r="C618" s="35" t="str">
        <f t="shared" ca="1" si="21"/>
        <v>BTK1528</v>
      </c>
      <c r="D618" s="35" t="str">
        <f t="shared" ca="1" si="22"/>
        <v>Bioteknologi Pertambangan dan Reklamasi Lahan</v>
      </c>
      <c r="E618" s="44">
        <f ca="1">IFERROR(VLOOKUP(A618,Mentah!D:J,7,FALSE),"")</f>
        <v>2</v>
      </c>
      <c r="F618" s="44" t="str">
        <f ca="1">IFERROR(VLOOKUP(A618,Mentah!D:K,8,FALSE),"")</f>
        <v>P051</v>
      </c>
      <c r="G618" s="35" t="str">
        <f t="shared" ca="1" si="18"/>
        <v>('BTK1528','Bioteknologi Pertambangan dan Reklamasi Lahan','2','P051'),</v>
      </c>
    </row>
    <row r="619" spans="1:7" ht="12.5" x14ac:dyDescent="0.25">
      <c r="A619" s="9" t="str">
        <f ca="1">IFERROR(__xludf.DUMMYFUNCTION("""COMPUTED_VALUE"""),"BTK1502 - Fisiologi Molekuler")</f>
        <v>BTK1502 - Fisiologi Molekuler</v>
      </c>
      <c r="B619" s="44">
        <v>618</v>
      </c>
      <c r="C619" s="35" t="str">
        <f t="shared" ca="1" si="21"/>
        <v>BTK1502</v>
      </c>
      <c r="D619" s="35" t="str">
        <f t="shared" ca="1" si="22"/>
        <v>Fisiologi Molekuler</v>
      </c>
      <c r="E619" s="44">
        <f ca="1">IFERROR(VLOOKUP(A619,Mentah!D:J,7,FALSE),"")</f>
        <v>1</v>
      </c>
      <c r="F619" s="44" t="str">
        <f ca="1">IFERROR(VLOOKUP(A619,Mentah!D:K,8,FALSE),"")</f>
        <v>P051</v>
      </c>
      <c r="G619" s="35" t="str">
        <f t="shared" ca="1" si="18"/>
        <v>('BTK1502','Fisiologi Molekuler','1','P051'),</v>
      </c>
    </row>
    <row r="620" spans="1:7" ht="12.5" x14ac:dyDescent="0.25">
      <c r="A620" s="9" t="str">
        <f ca="1">IFERROR(__xludf.DUMMYFUNCTION("""COMPUTED_VALUE"""),"BTK1524 - Bioteknologi Lingkungan")</f>
        <v>BTK1524 - Bioteknologi Lingkungan</v>
      </c>
      <c r="B620" s="44">
        <v>619</v>
      </c>
      <c r="C620" s="35" t="str">
        <f t="shared" ca="1" si="21"/>
        <v>BTK1524</v>
      </c>
      <c r="D620" s="35" t="str">
        <f t="shared" ca="1" si="22"/>
        <v>Bioteknologi Lingkungan</v>
      </c>
      <c r="E620" s="44">
        <f ca="1">IFERROR(VLOOKUP(A620,Mentah!D:J,7,FALSE),"")</f>
        <v>2</v>
      </c>
      <c r="F620" s="44" t="str">
        <f ca="1">IFERROR(VLOOKUP(A620,Mentah!D:K,8,FALSE),"")</f>
        <v>P051</v>
      </c>
      <c r="G620" s="35" t="str">
        <f t="shared" ca="1" si="18"/>
        <v>('BTK1524','Bioteknologi Lingkungan','2','P051'),</v>
      </c>
    </row>
    <row r="621" spans="1:7" ht="12.5" x14ac:dyDescent="0.25">
      <c r="A621" s="9" t="str">
        <f ca="1">IFERROR(__xludf.DUMMYFUNCTION("""COMPUTED_VALUE"""),"BTK1503 - Genetika Molekuler")</f>
        <v>BTK1503 - Genetika Molekuler</v>
      </c>
      <c r="B621" s="44">
        <v>620</v>
      </c>
      <c r="C621" s="35" t="str">
        <f t="shared" ca="1" si="21"/>
        <v>BTK1503</v>
      </c>
      <c r="D621" s="35" t="str">
        <f t="shared" ca="1" si="22"/>
        <v>Genetika Molekuler</v>
      </c>
      <c r="E621" s="44">
        <f ca="1">IFERROR(VLOOKUP(A621,Mentah!D:J,7,FALSE),"")</f>
        <v>1</v>
      </c>
      <c r="F621" s="44" t="str">
        <f ca="1">IFERROR(VLOOKUP(A621,Mentah!D:K,8,FALSE),"")</f>
        <v>P051</v>
      </c>
      <c r="G621" s="35" t="str">
        <f t="shared" ca="1" si="18"/>
        <v>('BTK1503','Genetika Molekuler','1','P051'),</v>
      </c>
    </row>
    <row r="622" spans="1:7" ht="12.5" x14ac:dyDescent="0.25">
      <c r="A622" s="9" t="str">
        <f ca="1">IFERROR(__xludf.DUMMYFUNCTION("""COMPUTED_VALUE"""),"BTK1523 - Rekayasa Genetika Mikrob")</f>
        <v>BTK1523 - Rekayasa Genetika Mikrob</v>
      </c>
      <c r="B622" s="44">
        <v>621</v>
      </c>
      <c r="C622" s="35" t="str">
        <f t="shared" ca="1" si="21"/>
        <v>BTK1523</v>
      </c>
      <c r="D622" s="35" t="str">
        <f t="shared" ca="1" si="22"/>
        <v>Rekayasa Genetika Mikrob</v>
      </c>
      <c r="E622" s="44">
        <f ca="1">IFERROR(VLOOKUP(A622,Mentah!D:J,7,FALSE),"")</f>
        <v>2</v>
      </c>
      <c r="F622" s="44" t="str">
        <f ca="1">IFERROR(VLOOKUP(A622,Mentah!D:K,8,FALSE),"")</f>
        <v>P051</v>
      </c>
      <c r="G622" s="35" t="str">
        <f t="shared" ca="1" si="18"/>
        <v>('BTK1523','Rekayasa Genetika Mikrob','2','P051'),</v>
      </c>
    </row>
    <row r="623" spans="1:7" ht="12.5" x14ac:dyDescent="0.25">
      <c r="A623" s="9" t="str">
        <f ca="1">IFERROR(__xludf.DUMMYFUNCTION("""COMPUTED_VALUE"""),"BTK1504 - Rekayasa Genetika")</f>
        <v>BTK1504 - Rekayasa Genetika</v>
      </c>
      <c r="B623" s="44">
        <v>622</v>
      </c>
      <c r="C623" s="35" t="str">
        <f t="shared" ca="1" si="21"/>
        <v>BTK1504</v>
      </c>
      <c r="D623" s="35" t="str">
        <f t="shared" ca="1" si="22"/>
        <v>Rekayasa Genetika</v>
      </c>
      <c r="E623" s="44">
        <f ca="1">IFERROR(VLOOKUP(A623,Mentah!D:J,7,FALSE),"")</f>
        <v>2</v>
      </c>
      <c r="F623" s="44" t="str">
        <f ca="1">IFERROR(VLOOKUP(A623,Mentah!D:K,8,FALSE),"")</f>
        <v>P051</v>
      </c>
      <c r="G623" s="35" t="str">
        <f t="shared" ca="1" si="18"/>
        <v>('BTK1504','Rekayasa Genetika','2','P051'),</v>
      </c>
    </row>
    <row r="624" spans="1:7" ht="12.5" x14ac:dyDescent="0.25">
      <c r="A624" s="9" t="str">
        <f ca="1">IFERROR(__xludf.DUMMYFUNCTION("""COMPUTED_VALUE"""),"BTK1501 - Prinsip Bioteknologi")</f>
        <v>BTK1501 - Prinsip Bioteknologi</v>
      </c>
      <c r="B624" s="44">
        <v>623</v>
      </c>
      <c r="C624" s="35" t="str">
        <f t="shared" ca="1" si="21"/>
        <v>BTK1501</v>
      </c>
      <c r="D624" s="35" t="str">
        <f t="shared" ca="1" si="22"/>
        <v>Prinsip Bioteknologi</v>
      </c>
      <c r="E624" s="44">
        <f ca="1">IFERROR(VLOOKUP(A624,Mentah!D:J,7,FALSE),"")</f>
        <v>1</v>
      </c>
      <c r="F624" s="44" t="str">
        <f ca="1">IFERROR(VLOOKUP(A624,Mentah!D:K,8,FALSE),"")</f>
        <v>P051</v>
      </c>
      <c r="G624" s="35" t="str">
        <f t="shared" ca="1" si="18"/>
        <v>('BTK1501','Prinsip Bioteknologi','1','P051'),</v>
      </c>
    </row>
    <row r="625" spans="1:7" ht="12.5" x14ac:dyDescent="0.25">
      <c r="A625" s="9" t="str">
        <f ca="1">IFERROR(__xludf.DUMMYFUNCTION("""COMPUTED_VALUE"""),"BTK1525 - Teknologi Produksi Organisme Tanah")</f>
        <v>BTK1525 - Teknologi Produksi Organisme Tanah</v>
      </c>
      <c r="B625" s="44">
        <v>624</v>
      </c>
      <c r="C625" s="35" t="str">
        <f t="shared" ca="1" si="21"/>
        <v>BTK1525</v>
      </c>
      <c r="D625" s="35" t="str">
        <f t="shared" ca="1" si="22"/>
        <v>Teknologi Produksi Organisme Tanah</v>
      </c>
      <c r="E625" s="44">
        <f ca="1">IFERROR(VLOOKUP(A625,Mentah!D:J,7,FALSE),"")</f>
        <v>2</v>
      </c>
      <c r="F625" s="44" t="str">
        <f ca="1">IFERROR(VLOOKUP(A625,Mentah!D:K,8,FALSE),"")</f>
        <v>P051</v>
      </c>
      <c r="G625" s="35" t="str">
        <f t="shared" ca="1" si="18"/>
        <v>('BTK1525','Teknologi Produksi Organisme Tanah','2','P051'),</v>
      </c>
    </row>
    <row r="626" spans="1:7" ht="12.5" x14ac:dyDescent="0.25">
      <c r="A626" s="9" t="str">
        <f ca="1">IFERROR(__xludf.DUMMYFUNCTION("""COMPUTED_VALUE"""),"BTK1505 - Metodologi Penelitian dan Teknik Penulisan Ilmiah")</f>
        <v>BTK1505 - Metodologi Penelitian dan Teknik Penulisan Ilmiah</v>
      </c>
      <c r="B626" s="44">
        <v>625</v>
      </c>
      <c r="C626" s="35" t="str">
        <f t="shared" ca="1" si="21"/>
        <v>BTK1505</v>
      </c>
      <c r="D626" s="35" t="str">
        <f t="shared" ca="1" si="22"/>
        <v>Metodologi Penelitian dan Teknik Penulisan Ilmiah</v>
      </c>
      <c r="E626" s="44">
        <f ca="1">IFERROR(VLOOKUP(A626,Mentah!D:J,7,FALSE),"")</f>
        <v>1</v>
      </c>
      <c r="F626" s="44" t="str">
        <f ca="1">IFERROR(VLOOKUP(A626,Mentah!D:K,8,FALSE),"")</f>
        <v>P051</v>
      </c>
      <c r="G626" s="35" t="str">
        <f t="shared" ca="1" si="18"/>
        <v>('BTK1505','Metodologi Penelitian dan Teknik Penulisan Ilmiah','1','P051'),</v>
      </c>
    </row>
    <row r="627" spans="1:7" ht="12.5" x14ac:dyDescent="0.25">
      <c r="A627" s="9" t="str">
        <f ca="1">IFERROR(__xludf.DUMMYFUNCTION("""COMPUTED_VALUE"""),"PSL1608 - Pemodelan Spasial Pengelolaan Sumber Daya Alam dan Lingkungan")</f>
        <v>PSL1608 - Pemodelan Spasial Pengelolaan Sumber Daya Alam dan Lingkungan</v>
      </c>
      <c r="B627" s="44">
        <v>626</v>
      </c>
      <c r="C627" s="35" t="str">
        <f t="shared" ca="1" si="21"/>
        <v>PSL1608</v>
      </c>
      <c r="D627" s="35" t="str">
        <f t="shared" ca="1" si="22"/>
        <v>Pemodelan Spasial Pengelolaan Sumber Daya Alam dan Lingkungan</v>
      </c>
      <c r="E627" s="44">
        <f ca="1">IFERROR(VLOOKUP(A627,Mentah!D:J,7,FALSE),"")</f>
        <v>2</v>
      </c>
      <c r="F627" s="44" t="str">
        <f ca="1">IFERROR(VLOOKUP(A627,Mentah!D:K,8,FALSE),"")</f>
        <v>P052</v>
      </c>
      <c r="G627" s="35" t="str">
        <f t="shared" ca="1" si="18"/>
        <v>('PSL1608','Pemodelan Spasial Pengelolaan Sumber Daya Alam dan Lingkungan','2','P052'),</v>
      </c>
    </row>
    <row r="628" spans="1:7" ht="12.5" x14ac:dyDescent="0.25">
      <c r="A628" s="9" t="str">
        <f ca="1">IFERROR(__xludf.DUMMYFUNCTION("""COMPUTED_VALUE"""),"PSL1615 - Ekologi Politik Sumber Daya Alam dan Lingkungan")</f>
        <v>PSL1615 - Ekologi Politik Sumber Daya Alam dan Lingkungan</v>
      </c>
      <c r="B628" s="44">
        <v>627</v>
      </c>
      <c r="C628" s="35" t="str">
        <f t="shared" ca="1" si="21"/>
        <v>PSL1615</v>
      </c>
      <c r="D628" s="35" t="str">
        <f t="shared" ca="1" si="22"/>
        <v>Ekologi Politik Sumber Daya Alam dan Lingkungan</v>
      </c>
      <c r="E628" s="44">
        <f ca="1">IFERROR(VLOOKUP(A628,Mentah!D:J,7,FALSE),"")</f>
        <v>2</v>
      </c>
      <c r="F628" s="44" t="str">
        <f ca="1">IFERROR(VLOOKUP(A628,Mentah!D:K,8,FALSE),"")</f>
        <v>P052</v>
      </c>
      <c r="G628" s="35" t="str">
        <f t="shared" ca="1" si="18"/>
        <v>('PSL1615','Ekologi Politik Sumber Daya Alam dan Lingkungan','2','P052'),</v>
      </c>
    </row>
    <row r="629" spans="1:7" ht="12.5" x14ac:dyDescent="0.25">
      <c r="A629" s="9" t="str">
        <f ca="1">IFERROR(__xludf.DUMMYFUNCTION("""COMPUTED_VALUE"""),"PSL1636 - Kebijakan Pengelolaan Wisata Agro-Eko-Kultural")</f>
        <v>PSL1636 - Kebijakan Pengelolaan Wisata Agro-Eko-Kultural</v>
      </c>
      <c r="B629" s="44">
        <v>628</v>
      </c>
      <c r="C629" s="35" t="str">
        <f t="shared" ca="1" si="21"/>
        <v>PSL1636</v>
      </c>
      <c r="D629" s="35" t="str">
        <f t="shared" ca="1" si="22"/>
        <v>Kebijakan Pengelolaan Wisata Agro-Eko-Kultural</v>
      </c>
      <c r="E629" s="44">
        <f ca="1">IFERROR(VLOOKUP(A629,Mentah!D:J,7,FALSE),"")</f>
        <v>2</v>
      </c>
      <c r="F629" s="44" t="str">
        <f ca="1">IFERROR(VLOOKUP(A629,Mentah!D:K,8,FALSE),"")</f>
        <v>P052</v>
      </c>
      <c r="G629" s="35" t="str">
        <f t="shared" ca="1" si="18"/>
        <v>('PSL1636','Kebijakan Pengelolaan Wisata Agro-Eko-Kultural','2','P052'),</v>
      </c>
    </row>
    <row r="630" spans="1:7" ht="12.5" x14ac:dyDescent="0.25">
      <c r="A630" s="9" t="str">
        <f ca="1">IFERROR(__xludf.DUMMYFUNCTION("""COMPUTED_VALUE"""),"PSL1626 - Manajemen dan Asesmen Eko-toksikologi")</f>
        <v>PSL1626 - Manajemen dan Asesmen Eko-toksikologi</v>
      </c>
      <c r="B630" s="44">
        <v>629</v>
      </c>
      <c r="C630" s="35" t="str">
        <f t="shared" ca="1" si="21"/>
        <v>PSL1626</v>
      </c>
      <c r="D630" s="35" t="str">
        <f t="shared" ca="1" si="22"/>
        <v>Manajemen dan Asesmen Eko-toksikologi</v>
      </c>
      <c r="E630" s="44">
        <f ca="1">IFERROR(VLOOKUP(A630,Mentah!D:J,7,FALSE),"")</f>
        <v>2</v>
      </c>
      <c r="F630" s="44" t="str">
        <f ca="1">IFERROR(VLOOKUP(A630,Mentah!D:K,8,FALSE),"")</f>
        <v>P052</v>
      </c>
      <c r="G630" s="35" t="str">
        <f t="shared" ca="1" si="18"/>
        <v>('PSL1626','Manajemen dan Asesmen Eko-toksikologi','2','P052'),</v>
      </c>
    </row>
    <row r="631" spans="1:7" ht="12.5" x14ac:dyDescent="0.25">
      <c r="A631" s="9" t="str">
        <f ca="1">IFERROR(__xludf.DUMMYFUNCTION("""COMPUTED_VALUE"""),"PSL1635 - Konsumsi Hijau dan Sanitasi Higienis")</f>
        <v>PSL1635 - Konsumsi Hijau dan Sanitasi Higienis</v>
      </c>
      <c r="B631" s="44">
        <v>630</v>
      </c>
      <c r="C631" s="35" t="str">
        <f t="shared" ca="1" si="21"/>
        <v>PSL1635</v>
      </c>
      <c r="D631" s="35" t="str">
        <f t="shared" ca="1" si="22"/>
        <v>Konsumsi Hijau dan Sanitasi Higienis</v>
      </c>
      <c r="E631" s="44">
        <f ca="1">IFERROR(VLOOKUP(A631,Mentah!D:J,7,FALSE),"")</f>
        <v>2</v>
      </c>
      <c r="F631" s="44" t="str">
        <f ca="1">IFERROR(VLOOKUP(A631,Mentah!D:K,8,FALSE),"")</f>
        <v>P052</v>
      </c>
      <c r="G631" s="35" t="str">
        <f t="shared" ca="1" si="18"/>
        <v>('PSL1635','Konsumsi Hijau dan Sanitasi Higienis','2','P052'),</v>
      </c>
    </row>
    <row r="632" spans="1:7" ht="12.5" x14ac:dyDescent="0.25">
      <c r="A632" s="9" t="str">
        <f ca="1">IFERROR(__xludf.DUMMYFUNCTION("""COMPUTED_VALUE"""),"PSL1624 - Instrumen Manajemen Lingkungan")</f>
        <v>PSL1624 - Instrumen Manajemen Lingkungan</v>
      </c>
      <c r="B632" s="44">
        <v>631</v>
      </c>
      <c r="C632" s="35" t="str">
        <f t="shared" ca="1" si="21"/>
        <v>PSL1624</v>
      </c>
      <c r="D632" s="35" t="str">
        <f t="shared" ca="1" si="22"/>
        <v>Instrumen Manajemen Lingkungan</v>
      </c>
      <c r="E632" s="44">
        <f ca="1">IFERROR(VLOOKUP(A632,Mentah!D:J,7,FALSE),"")</f>
        <v>2</v>
      </c>
      <c r="F632" s="44" t="str">
        <f ca="1">IFERROR(VLOOKUP(A632,Mentah!D:K,8,FALSE),"")</f>
        <v>P052</v>
      </c>
      <c r="G632" s="35" t="str">
        <f t="shared" ca="1" si="18"/>
        <v>('PSL1624','Instrumen Manajemen Lingkungan','2','P052'),</v>
      </c>
    </row>
    <row r="633" spans="1:7" ht="12.5" x14ac:dyDescent="0.25">
      <c r="A633" s="9" t="str">
        <f ca="1">IFERROR(__xludf.DUMMYFUNCTION("""COMPUTED_VALUE"""),"PSL1671 - Pengelolaan Sumberdaya Lahan dan Air Berkelanjutan")</f>
        <v>PSL1671 - Pengelolaan Sumberdaya Lahan dan Air Berkelanjutan</v>
      </c>
      <c r="B633" s="44">
        <v>632</v>
      </c>
      <c r="C633" s="35" t="str">
        <f t="shared" ca="1" si="21"/>
        <v>PSL1671</v>
      </c>
      <c r="D633" s="35" t="str">
        <f t="shared" ca="1" si="22"/>
        <v>Pengelolaan Sumberdaya Lahan dan Air Berkelanjutan</v>
      </c>
      <c r="E633" s="44">
        <f ca="1">IFERROR(VLOOKUP(A633,Mentah!D:J,7,FALSE),"")</f>
        <v>2</v>
      </c>
      <c r="F633" s="44" t="str">
        <f ca="1">IFERROR(VLOOKUP(A633,Mentah!D:K,8,FALSE),"")</f>
        <v>P052</v>
      </c>
      <c r="G633" s="35" t="str">
        <f t="shared" ca="1" si="18"/>
        <v>('PSL1671','Pengelolaan Sumberdaya Lahan dan Air Berkelanjutan','2','P052'),</v>
      </c>
    </row>
    <row r="634" spans="1:7" ht="12.5" x14ac:dyDescent="0.25">
      <c r="A634" s="9" t="str">
        <f ca="1">IFERROR(__xludf.DUMMYFUNCTION("""COMPUTED_VALUE"""),"PSL150C - Analisis Pengelolaan Sumber Daya Alam dan Lingkungan")</f>
        <v>PSL150C - Analisis Pengelolaan Sumber Daya Alam dan Lingkungan</v>
      </c>
      <c r="B634" s="44">
        <v>633</v>
      </c>
      <c r="C634" s="35" t="str">
        <f t="shared" ca="1" si="21"/>
        <v>PSL150C</v>
      </c>
      <c r="D634" s="35" t="str">
        <f t="shared" ca="1" si="22"/>
        <v>Analisis Pengelolaan Sumber Daya Alam dan Lingkungan</v>
      </c>
      <c r="E634" s="44">
        <f ca="1">IFERROR(VLOOKUP(A634,Mentah!D:J,7,FALSE),"")</f>
        <v>2</v>
      </c>
      <c r="F634" s="44" t="str">
        <f ca="1">IFERROR(VLOOKUP(A634,Mentah!D:K,8,FALSE),"")</f>
        <v>P052</v>
      </c>
      <c r="G634" s="35" t="str">
        <f t="shared" ca="1" si="18"/>
        <v>('PSL150C','Analisis Pengelolaan Sumber Daya Alam dan Lingkungan','2','P052'),</v>
      </c>
    </row>
    <row r="635" spans="1:7" ht="12.5" x14ac:dyDescent="0.25">
      <c r="A635" s="9" t="str">
        <f ca="1">IFERROR(__xludf.DUMMYFUNCTION("""COMPUTED_VALUE"""),"PSL1616 - Seni dan Sains Diplomasi Internasional")</f>
        <v>PSL1616 - Seni dan Sains Diplomasi Internasional</v>
      </c>
      <c r="B635" s="44">
        <v>634</v>
      </c>
      <c r="C635" s="35" t="str">
        <f t="shared" ca="1" si="21"/>
        <v>PSL1616</v>
      </c>
      <c r="D635" s="35" t="str">
        <f t="shared" ca="1" si="22"/>
        <v>Seni dan Sains Diplomasi Internasional</v>
      </c>
      <c r="E635" s="44">
        <f ca="1">IFERROR(VLOOKUP(A635,Mentah!D:J,7,FALSE),"")</f>
        <v>2</v>
      </c>
      <c r="F635" s="44" t="str">
        <f ca="1">IFERROR(VLOOKUP(A635,Mentah!D:K,8,FALSE),"")</f>
        <v>P052</v>
      </c>
      <c r="G635" s="35" t="str">
        <f t="shared" ca="1" si="18"/>
        <v>('PSL1616','Seni dan Sains Diplomasi Internasional','2','P052'),</v>
      </c>
    </row>
    <row r="636" spans="1:7" ht="12.5" x14ac:dyDescent="0.25">
      <c r="A636" s="9" t="str">
        <f ca="1">IFERROR(__xludf.DUMMYFUNCTION("""COMPUTED_VALUE"""),"PSL1672 - Ekologi Sumberdaya dan Lingkungan Hutan Tropika")</f>
        <v>PSL1672 - Ekologi Sumberdaya dan Lingkungan Hutan Tropika</v>
      </c>
      <c r="B636" s="44">
        <v>635</v>
      </c>
      <c r="C636" s="35" t="str">
        <f t="shared" ca="1" si="21"/>
        <v>PSL1672</v>
      </c>
      <c r="D636" s="35" t="str">
        <f t="shared" ca="1" si="22"/>
        <v>Ekologi Sumberdaya dan Lingkungan Hutan Tropika</v>
      </c>
      <c r="E636" s="44">
        <f ca="1">IFERROR(VLOOKUP(A636,Mentah!D:J,7,FALSE),"")</f>
        <v>2</v>
      </c>
      <c r="F636" s="44" t="str">
        <f ca="1">IFERROR(VLOOKUP(A636,Mentah!D:K,8,FALSE),"")</f>
        <v>P052</v>
      </c>
      <c r="G636" s="35" t="str">
        <f t="shared" ca="1" si="18"/>
        <v>('PSL1672','Ekologi Sumberdaya dan Lingkungan Hutan Tropika','2','P052'),</v>
      </c>
    </row>
    <row r="637" spans="1:7" ht="12.5" x14ac:dyDescent="0.25">
      <c r="A637" s="9" t="str">
        <f ca="1">IFERROR(__xludf.DUMMYFUNCTION("""COMPUTED_VALUE"""),"PSL1673 - Pengelolaan Konflik Sosial dan Ekologi Politik dalam Pengelolaan Sumber Daya Alam dan Lingkungan")</f>
        <v>PSL1673 - Pengelolaan Konflik Sosial dan Ekologi Politik dalam Pengelolaan Sumber Daya Alam dan Lingkungan</v>
      </c>
      <c r="B637" s="44">
        <v>636</v>
      </c>
      <c r="C637" s="35" t="str">
        <f t="shared" ca="1" si="21"/>
        <v>PSL1673</v>
      </c>
      <c r="D637" s="35" t="str">
        <f t="shared" ca="1" si="22"/>
        <v>Pengelolaan Konflik Sosial dan Ekologi Politik dalam Pengelolaan Sumber Daya Alam dan Lingkungan</v>
      </c>
      <c r="E637" s="44">
        <f ca="1">IFERROR(VLOOKUP(A637,Mentah!D:J,7,FALSE),"")</f>
        <v>2</v>
      </c>
      <c r="F637" s="44" t="str">
        <f ca="1">IFERROR(VLOOKUP(A637,Mentah!D:K,8,FALSE),"")</f>
        <v>P052</v>
      </c>
      <c r="G637" s="35" t="str">
        <f t="shared" ca="1" si="18"/>
        <v>('PSL1673','Pengelolaan Konflik Sosial dan Ekologi Politik dalam Pengelolaan Sumber Daya Alam dan Lingkungan','2','P052'),</v>
      </c>
    </row>
    <row r="638" spans="1:7" ht="12.5" x14ac:dyDescent="0.25">
      <c r="A638" s="9" t="str">
        <f ca="1">IFERROR(__xludf.DUMMYFUNCTION("""COMPUTED_VALUE"""),"PSL1675 - Sistem Administrasi Lingkungan")</f>
        <v>PSL1675 - Sistem Administrasi Lingkungan</v>
      </c>
      <c r="B638" s="44">
        <v>637</v>
      </c>
      <c r="C638" s="35" t="str">
        <f t="shared" ca="1" si="21"/>
        <v>PSL1675</v>
      </c>
      <c r="D638" s="35" t="str">
        <f t="shared" ca="1" si="22"/>
        <v>Sistem Administrasi Lingkungan</v>
      </c>
      <c r="E638" s="44">
        <f ca="1">IFERROR(VLOOKUP(A638,Mentah!D:J,7,FALSE),"")</f>
        <v>2</v>
      </c>
      <c r="F638" s="44" t="str">
        <f ca="1">IFERROR(VLOOKUP(A638,Mentah!D:K,8,FALSE),"")</f>
        <v>P052</v>
      </c>
      <c r="G638" s="35" t="str">
        <f t="shared" ca="1" si="18"/>
        <v>('PSL1675','Sistem Administrasi Lingkungan','2','P052'),</v>
      </c>
    </row>
    <row r="639" spans="1:7" ht="12.5" x14ac:dyDescent="0.25">
      <c r="A639" s="9" t="str">
        <f ca="1">IFERROR(__xludf.DUMMYFUNCTION("""COMPUTED_VALUE"""),"PSL1674 - Analisis Risiko Ekologi")</f>
        <v>PSL1674 - Analisis Risiko Ekologi</v>
      </c>
      <c r="B639" s="44">
        <v>638</v>
      </c>
      <c r="C639" s="35" t="str">
        <f t="shared" ca="1" si="21"/>
        <v>PSL1674</v>
      </c>
      <c r="D639" s="35" t="str">
        <f t="shared" ca="1" si="22"/>
        <v>Analisis Risiko Ekologi</v>
      </c>
      <c r="E639" s="44">
        <f ca="1">IFERROR(VLOOKUP(A639,Mentah!D:J,7,FALSE),"")</f>
        <v>2</v>
      </c>
      <c r="F639" s="44" t="str">
        <f ca="1">IFERROR(VLOOKUP(A639,Mentah!D:K,8,FALSE),"")</f>
        <v>P052</v>
      </c>
      <c r="G639" s="35" t="str">
        <f t="shared" ca="1" si="18"/>
        <v>('PSL1674','Analisis Risiko Ekologi','2','P052'),</v>
      </c>
    </row>
    <row r="640" spans="1:7" ht="12.5" x14ac:dyDescent="0.25">
      <c r="A640" s="9" t="str">
        <f ca="1">IFERROR(__xludf.DUMMYFUNCTION("""COMPUTED_VALUE"""),"PSL1632 - Energi Baru dan Terbarukan dari Sumberdaya Agro-maritim")</f>
        <v>PSL1632 - Energi Baru dan Terbarukan dari Sumberdaya Agro-maritim</v>
      </c>
      <c r="B640" s="44">
        <v>639</v>
      </c>
      <c r="C640" s="35" t="str">
        <f t="shared" ca="1" si="21"/>
        <v>PSL1632</v>
      </c>
      <c r="D640" s="35" t="str">
        <f t="shared" ca="1" si="22"/>
        <v>Energi Baru dan Terbarukan dari Sumberdaya Agro-maritim</v>
      </c>
      <c r="E640" s="44">
        <f ca="1">IFERROR(VLOOKUP(A640,Mentah!D:J,7,FALSE),"")</f>
        <v>2</v>
      </c>
      <c r="F640" s="44" t="str">
        <f ca="1">IFERROR(VLOOKUP(A640,Mentah!D:K,8,FALSE),"")</f>
        <v>P052</v>
      </c>
      <c r="G640" s="35" t="str">
        <f t="shared" ca="1" si="18"/>
        <v>('PSL1632','Energi Baru dan Terbarukan dari Sumberdaya Agro-maritim','2','P052'),</v>
      </c>
    </row>
    <row r="641" spans="1:7" ht="12.5" x14ac:dyDescent="0.25">
      <c r="A641" s="9" t="str">
        <f ca="1">IFERROR(__xludf.DUMMYFUNCTION("""COMPUTED_VALUE"""),"PSL1625 - Manajemen Risiko Perubahan Iklim dan Bencana")</f>
        <v>PSL1625 - Manajemen Risiko Perubahan Iklim dan Bencana</v>
      </c>
      <c r="B641" s="44">
        <v>640</v>
      </c>
      <c r="C641" s="35" t="str">
        <f t="shared" ca="1" si="21"/>
        <v>PSL1625</v>
      </c>
      <c r="D641" s="35" t="str">
        <f t="shared" ca="1" si="22"/>
        <v>Manajemen Risiko Perubahan Iklim dan Bencana</v>
      </c>
      <c r="E641" s="44">
        <f ca="1">IFERROR(VLOOKUP(A641,Mentah!D:J,7,FALSE),"")</f>
        <v>2</v>
      </c>
      <c r="F641" s="44" t="str">
        <f ca="1">IFERROR(VLOOKUP(A641,Mentah!D:K,8,FALSE),"")</f>
        <v>P052</v>
      </c>
      <c r="G641" s="35" t="str">
        <f t="shared" ca="1" si="18"/>
        <v>('PSL1625','Manajemen Risiko Perubahan Iklim dan Bencana','2','P052'),</v>
      </c>
    </row>
    <row r="642" spans="1:7" ht="12.5" x14ac:dyDescent="0.25">
      <c r="A642" s="9" t="str">
        <f ca="1">IFERROR(__xludf.DUMMYFUNCTION("""COMPUTED_VALUE"""),"PSL1617 - Politik dan Praktik Kebijakan Sumber Daya Alam dan Lingkungan")</f>
        <v>PSL1617 - Politik dan Praktik Kebijakan Sumber Daya Alam dan Lingkungan</v>
      </c>
      <c r="B642" s="44">
        <v>641</v>
      </c>
      <c r="C642" s="35" t="str">
        <f t="shared" ref="C642:C668" ca="1" si="23">IFERROR(LEFT(A642,7),"")</f>
        <v>PSL1617</v>
      </c>
      <c r="D642" s="35" t="str">
        <f t="shared" ref="D642:D668" ca="1" si="24">IFERROR(MID(A642,11,99),"")</f>
        <v>Politik dan Praktik Kebijakan Sumber Daya Alam dan Lingkungan</v>
      </c>
      <c r="E642" s="44">
        <f ca="1">IFERROR(VLOOKUP(A642,Mentah!D:J,7,FALSE),"")</f>
        <v>2</v>
      </c>
      <c r="F642" s="44" t="str">
        <f ca="1">IFERROR(VLOOKUP(A642,Mentah!D:K,8,FALSE),"")</f>
        <v>P052</v>
      </c>
      <c r="G642" s="35" t="str">
        <f t="shared" ca="1" si="18"/>
        <v>('PSL1617','Politik dan Praktik Kebijakan Sumber Daya Alam dan Lingkungan','2','P052'),</v>
      </c>
    </row>
    <row r="643" spans="1:7" ht="12.5" x14ac:dyDescent="0.25">
      <c r="A643" s="9" t="str">
        <f ca="1">IFERROR(__xludf.DUMMYFUNCTION("""COMPUTED_VALUE"""),"MPI1521 - Pengantar Industri Kecil Menengah")</f>
        <v>MPI1521 - Pengantar Industri Kecil Menengah</v>
      </c>
      <c r="B643" s="44">
        <v>642</v>
      </c>
      <c r="C643" s="35" t="str">
        <f t="shared" ca="1" si="23"/>
        <v>MPI1521</v>
      </c>
      <c r="D643" s="35" t="str">
        <f t="shared" ca="1" si="24"/>
        <v>Pengantar Industri Kecil Menengah</v>
      </c>
      <c r="E643" s="44">
        <f ca="1">IFERROR(VLOOKUP(A643,Mentah!D:J,7,FALSE),"")</f>
        <v>1</v>
      </c>
      <c r="F643" s="44" t="str">
        <f ca="1">IFERROR(VLOOKUP(A643,Mentah!D:K,8,FALSE),"")</f>
        <v>P054</v>
      </c>
      <c r="G643" s="35" t="str">
        <f t="shared" ca="1" si="18"/>
        <v>('MPI1521','Pengantar Industri Kecil Menengah','1','P054'),</v>
      </c>
    </row>
    <row r="644" spans="1:7" ht="12.5" x14ac:dyDescent="0.25">
      <c r="A644" s="9" t="str">
        <f ca="1">IFERROR(__xludf.DUMMYFUNCTION("""COMPUTED_VALUE"""),"MPI1504 - Prinsip Ekonomi dan Perekonomian Indonesia")</f>
        <v>MPI1504 - Prinsip Ekonomi dan Perekonomian Indonesia</v>
      </c>
      <c r="B644" s="44">
        <v>643</v>
      </c>
      <c r="C644" s="35" t="str">
        <f t="shared" ca="1" si="23"/>
        <v>MPI1504</v>
      </c>
      <c r="D644" s="35" t="str">
        <f t="shared" ca="1" si="24"/>
        <v>Prinsip Ekonomi dan Perekonomian Indonesia</v>
      </c>
      <c r="E644" s="44">
        <f ca="1">IFERROR(VLOOKUP(A644,Mentah!D:J,7,FALSE),"")</f>
        <v>1</v>
      </c>
      <c r="F644" s="44" t="str">
        <f ca="1">IFERROR(VLOOKUP(A644,Mentah!D:K,8,FALSE),"")</f>
        <v>P054</v>
      </c>
      <c r="G644" s="35" t="str">
        <f t="shared" ca="1" si="18"/>
        <v>('MPI1504','Prinsip Ekonomi dan Perekonomian Indonesia','1','P054'),</v>
      </c>
    </row>
    <row r="645" spans="1:7" ht="12.5" x14ac:dyDescent="0.25">
      <c r="A645" s="9" t="str">
        <f ca="1">IFERROR(__xludf.DUMMYFUNCTION("""COMPUTED_VALUE"""),"MPI1505 - Pengetahuan Bahan Pertanian")</f>
        <v>MPI1505 - Pengetahuan Bahan Pertanian</v>
      </c>
      <c r="B645" s="44">
        <v>644</v>
      </c>
      <c r="C645" s="35" t="str">
        <f t="shared" ca="1" si="23"/>
        <v>MPI1505</v>
      </c>
      <c r="D645" s="35" t="str">
        <f t="shared" ca="1" si="24"/>
        <v>Pengetahuan Bahan Pertanian</v>
      </c>
      <c r="E645" s="44">
        <f ca="1">IFERROR(VLOOKUP(A645,Mentah!D:J,7,FALSE),"")</f>
        <v>1</v>
      </c>
      <c r="F645" s="44" t="str">
        <f ca="1">IFERROR(VLOOKUP(A645,Mentah!D:K,8,FALSE),"")</f>
        <v>P054</v>
      </c>
      <c r="G645" s="35" t="str">
        <f t="shared" ca="1" si="18"/>
        <v>('MPI1505','Pengetahuan Bahan Pertanian','1','P054'),</v>
      </c>
    </row>
    <row r="646" spans="1:7" ht="12.5" x14ac:dyDescent="0.25">
      <c r="A646" s="9" t="str">
        <f ca="1">IFERROR(__xludf.DUMMYFUNCTION("""COMPUTED_VALUE"""),"MPI1541 - Kapita Selekta Industri Kecil Menengah Pertanian")</f>
        <v>MPI1541 - Kapita Selekta Industri Kecil Menengah Pertanian</v>
      </c>
      <c r="B646" s="44">
        <v>645</v>
      </c>
      <c r="C646" s="35" t="str">
        <f t="shared" ca="1" si="23"/>
        <v>MPI1541</v>
      </c>
      <c r="D646" s="35" t="str">
        <f t="shared" ca="1" si="24"/>
        <v>Kapita Selekta Industri Kecil Menengah Pertanian</v>
      </c>
      <c r="E646" s="44">
        <f ca="1">IFERROR(VLOOKUP(A646,Mentah!D:J,7,FALSE),"")</f>
        <v>3</v>
      </c>
      <c r="F646" s="44" t="str">
        <f ca="1">IFERROR(VLOOKUP(A646,Mentah!D:K,8,FALSE),"")</f>
        <v>P054</v>
      </c>
      <c r="G646" s="35" t="str">
        <f t="shared" ca="1" si="18"/>
        <v>('MPI1541','Kapita Selekta Industri Kecil Menengah Pertanian','3','P054'),</v>
      </c>
    </row>
    <row r="647" spans="1:7" ht="12.5" x14ac:dyDescent="0.25">
      <c r="A647" s="9" t="str">
        <f ca="1">IFERROR(__xludf.DUMMYFUNCTION("""COMPUTED_VALUE"""),"MPI1526 - Kunjungan Lapang")</f>
        <v>MPI1526 - Kunjungan Lapang</v>
      </c>
      <c r="B647" s="44">
        <v>646</v>
      </c>
      <c r="C647" s="35" t="str">
        <f t="shared" ca="1" si="23"/>
        <v>MPI1526</v>
      </c>
      <c r="D647" s="35" t="str">
        <f t="shared" ca="1" si="24"/>
        <v>Kunjungan Lapang</v>
      </c>
      <c r="E647" s="44">
        <f ca="1">IFERROR(VLOOKUP(A647,Mentah!D:J,7,FALSE),"")</f>
        <v>1</v>
      </c>
      <c r="F647" s="44" t="str">
        <f ca="1">IFERROR(VLOOKUP(A647,Mentah!D:K,8,FALSE),"")</f>
        <v>P054</v>
      </c>
      <c r="G647" s="35" t="str">
        <f t="shared" ca="1" si="18"/>
        <v>('MPI1526','Kunjungan Lapang','1','P054'),</v>
      </c>
    </row>
    <row r="648" spans="1:7" ht="12.5" x14ac:dyDescent="0.25">
      <c r="A648" s="9" t="str">
        <f ca="1">IFERROR(__xludf.DUMMYFUNCTION("""COMPUTED_VALUE"""),"MPI1525 - Metode Kuantitatif untuk Bisnis")</f>
        <v>MPI1525 - Metode Kuantitatif untuk Bisnis</v>
      </c>
      <c r="B648" s="44">
        <v>647</v>
      </c>
      <c r="C648" s="35" t="str">
        <f t="shared" ca="1" si="23"/>
        <v>MPI1525</v>
      </c>
      <c r="D648" s="35" t="str">
        <f t="shared" ca="1" si="24"/>
        <v>Metode Kuantitatif untuk Bisnis</v>
      </c>
      <c r="E648" s="44">
        <f ca="1">IFERROR(VLOOKUP(A648,Mentah!D:J,7,FALSE),"")</f>
        <v>1</v>
      </c>
      <c r="F648" s="44" t="str">
        <f ca="1">IFERROR(VLOOKUP(A648,Mentah!D:K,8,FALSE),"")</f>
        <v>P054</v>
      </c>
      <c r="G648" s="35" t="str">
        <f t="shared" ca="1" si="18"/>
        <v>('MPI1525','Metode Kuantitatif untuk Bisnis','1','P054'),</v>
      </c>
    </row>
    <row r="649" spans="1:7" ht="12.5" x14ac:dyDescent="0.25">
      <c r="A649" s="9" t="str">
        <f ca="1">IFERROR(__xludf.DUMMYFUNCTION("""COMPUTED_VALUE"""),"MPI1502 - Pengenalan Teknologi Informasi")</f>
        <v>MPI1502 - Pengenalan Teknologi Informasi</v>
      </c>
      <c r="B649" s="44">
        <v>648</v>
      </c>
      <c r="C649" s="35" t="str">
        <f t="shared" ca="1" si="23"/>
        <v>MPI1502</v>
      </c>
      <c r="D649" s="35" t="str">
        <f t="shared" ca="1" si="24"/>
        <v>Pengenalan Teknologi Informasi</v>
      </c>
      <c r="E649" s="44">
        <f ca="1">IFERROR(VLOOKUP(A649,Mentah!D:J,7,FALSE),"")</f>
        <v>1</v>
      </c>
      <c r="F649" s="44" t="str">
        <f ca="1">IFERROR(VLOOKUP(A649,Mentah!D:K,8,FALSE),"")</f>
        <v>P054</v>
      </c>
      <c r="G649" s="35" t="str">
        <f t="shared" ca="1" si="18"/>
        <v>('MPI1502','Pengenalan Teknologi Informasi','1','P054'),</v>
      </c>
    </row>
    <row r="650" spans="1:7" ht="12.5" x14ac:dyDescent="0.25">
      <c r="A650" s="9" t="str">
        <f ca="1">IFERROR(__xludf.DUMMYFUNCTION("""COMPUTED_VALUE"""),"MPI1503 - Matematika dan Statistika Bisnis")</f>
        <v>MPI1503 - Matematika dan Statistika Bisnis</v>
      </c>
      <c r="B650" s="44">
        <v>649</v>
      </c>
      <c r="C650" s="35" t="str">
        <f t="shared" ca="1" si="23"/>
        <v>MPI1503</v>
      </c>
      <c r="D650" s="35" t="str">
        <f t="shared" ca="1" si="24"/>
        <v>Matematika dan Statistika Bisnis</v>
      </c>
      <c r="E650" s="44">
        <f ca="1">IFERROR(VLOOKUP(A650,Mentah!D:J,7,FALSE),"")</f>
        <v>1</v>
      </c>
      <c r="F650" s="44" t="str">
        <f ca="1">IFERROR(VLOOKUP(A650,Mentah!D:K,8,FALSE),"")</f>
        <v>P054</v>
      </c>
      <c r="G650" s="35" t="str">
        <f t="shared" ca="1" si="18"/>
        <v>('MPI1503','Matematika dan Statistika Bisnis','1','P054'),</v>
      </c>
    </row>
    <row r="651" spans="1:7" ht="12.5" x14ac:dyDescent="0.25">
      <c r="A651" s="9" t="str">
        <f ca="1">IFERROR(__xludf.DUMMYFUNCTION("""COMPUTED_VALUE"""),"MPI1524 - Ekonomi Teknik lanjut")</f>
        <v>MPI1524 - Ekonomi Teknik lanjut</v>
      </c>
      <c r="B651" s="44">
        <v>650</v>
      </c>
      <c r="C651" s="35" t="str">
        <f t="shared" ca="1" si="23"/>
        <v>MPI1524</v>
      </c>
      <c r="D651" s="35" t="str">
        <f t="shared" ca="1" si="24"/>
        <v>Ekonomi Teknik lanjut</v>
      </c>
      <c r="E651" s="44">
        <f ca="1">IFERROR(VLOOKUP(A651,Mentah!D:J,7,FALSE),"")</f>
        <v>1</v>
      </c>
      <c r="F651" s="44" t="str">
        <f ca="1">IFERROR(VLOOKUP(A651,Mentah!D:K,8,FALSE),"")</f>
        <v>P054</v>
      </c>
      <c r="G651" s="35" t="str">
        <f t="shared" ca="1" si="18"/>
        <v>('MPI1524','Ekonomi Teknik lanjut','1','P054'),</v>
      </c>
    </row>
    <row r="652" spans="1:7" ht="12.5" x14ac:dyDescent="0.25">
      <c r="A652" s="9" t="str">
        <f ca="1">IFERROR(__xludf.DUMMYFUNCTION("""COMPUTED_VALUE"""),"MPI1522 - Pengelolaan Industri")</f>
        <v>MPI1522 - Pengelolaan Industri</v>
      </c>
      <c r="B652" s="44">
        <v>651</v>
      </c>
      <c r="C652" s="35" t="str">
        <f t="shared" ca="1" si="23"/>
        <v>MPI1522</v>
      </c>
      <c r="D652" s="35" t="str">
        <f t="shared" ca="1" si="24"/>
        <v>Pengelolaan Industri</v>
      </c>
      <c r="E652" s="44">
        <f ca="1">IFERROR(VLOOKUP(A652,Mentah!D:J,7,FALSE),"")</f>
        <v>1</v>
      </c>
      <c r="F652" s="44" t="str">
        <f ca="1">IFERROR(VLOOKUP(A652,Mentah!D:K,8,FALSE),"")</f>
        <v>P054</v>
      </c>
      <c r="G652" s="35" t="str">
        <f t="shared" ca="1" si="18"/>
        <v>('MPI1522','Pengelolaan Industri','1','P054'),</v>
      </c>
    </row>
    <row r="653" spans="1:7" ht="12.5" x14ac:dyDescent="0.25">
      <c r="A653" s="9" t="str">
        <f ca="1">IFERROR(__xludf.DUMMYFUNCTION("""COMPUTED_VALUE"""),"MPI1523 - Pengetahuan Bahan Agro Industri")</f>
        <v>MPI1523 - Pengetahuan Bahan Agro Industri</v>
      </c>
      <c r="B653" s="44">
        <v>652</v>
      </c>
      <c r="C653" s="35" t="str">
        <f t="shared" ca="1" si="23"/>
        <v>MPI1523</v>
      </c>
      <c r="D653" s="35" t="str">
        <f t="shared" ca="1" si="24"/>
        <v>Pengetahuan Bahan Agro Industri</v>
      </c>
      <c r="E653" s="44">
        <f ca="1">IFERROR(VLOOKUP(A653,Mentah!D:J,7,FALSE),"")</f>
        <v>1</v>
      </c>
      <c r="F653" s="44" t="str">
        <f ca="1">IFERROR(VLOOKUP(A653,Mentah!D:K,8,FALSE),"")</f>
        <v>P054</v>
      </c>
      <c r="G653" s="35" t="str">
        <f t="shared" ca="1" si="18"/>
        <v>('MPI1523','Pengetahuan Bahan Agro Industri','1','P054'),</v>
      </c>
    </row>
    <row r="654" spans="1:7" ht="12.5" x14ac:dyDescent="0.25">
      <c r="A654" s="9" t="str">
        <f ca="1">IFERROR(__xludf.DUMMYFUNCTION("""COMPUTED_VALUE"""),"LOG1601 - Metodologi Penelitian")</f>
        <v>LOG1601 - Metodologi Penelitian</v>
      </c>
      <c r="B654" s="44">
        <v>653</v>
      </c>
      <c r="C654" s="35" t="str">
        <f t="shared" ca="1" si="23"/>
        <v>LOG1601</v>
      </c>
      <c r="D654" s="35" t="str">
        <f t="shared" ca="1" si="24"/>
        <v>Metodologi Penelitian</v>
      </c>
      <c r="E654" s="44">
        <f ca="1">IFERROR(VLOOKUP(A654,Mentah!D:J,7,FALSE),"")</f>
        <v>2</v>
      </c>
      <c r="F654" s="44" t="str">
        <f ca="1">IFERROR(VLOOKUP(A654,Mentah!D:K,8,FALSE),"")</f>
        <v>P055</v>
      </c>
      <c r="G654" s="35" t="str">
        <f t="shared" ca="1" si="18"/>
        <v>('LOG1601','Metodologi Penelitian','2','P055'),</v>
      </c>
    </row>
    <row r="655" spans="1:7" ht="12.5" x14ac:dyDescent="0.25">
      <c r="A655" s="9" t="str">
        <f ca="1">IFERROR(__xludf.DUMMYFUNCTION("""COMPUTED_VALUE"""),"LOG1643 - Logistik Kemanusiaan dan Bencana")</f>
        <v>LOG1643 - Logistik Kemanusiaan dan Bencana</v>
      </c>
      <c r="B655" s="44">
        <v>654</v>
      </c>
      <c r="C655" s="35" t="str">
        <f t="shared" ca="1" si="23"/>
        <v>LOG1643</v>
      </c>
      <c r="D655" s="35" t="str">
        <f t="shared" ca="1" si="24"/>
        <v>Logistik Kemanusiaan dan Bencana</v>
      </c>
      <c r="E655" s="44">
        <f ca="1">IFERROR(VLOOKUP(A655,Mentah!D:J,7,FALSE),"")</f>
        <v>2</v>
      </c>
      <c r="F655" s="44" t="str">
        <f ca="1">IFERROR(VLOOKUP(A655,Mentah!D:K,8,FALSE),"")</f>
        <v>P055</v>
      </c>
      <c r="G655" s="35" t="str">
        <f t="shared" ca="1" si="18"/>
        <v>('LOG1643','Logistik Kemanusiaan dan Bencana','2','P055'),</v>
      </c>
    </row>
    <row r="656" spans="1:7" ht="12.5" x14ac:dyDescent="0.25">
      <c r="A656" s="9" t="str">
        <f ca="1">IFERROR(__xludf.DUMMYFUNCTION("""COMPUTED_VALUE"""),"LOG1623 - Logistik dan Eco-Fishing Port")</f>
        <v>LOG1623 - Logistik dan Eco-Fishing Port</v>
      </c>
      <c r="B656" s="44">
        <v>655</v>
      </c>
      <c r="C656" s="35" t="str">
        <f t="shared" ca="1" si="23"/>
        <v>LOG1623</v>
      </c>
      <c r="D656" s="35" t="str">
        <f t="shared" ca="1" si="24"/>
        <v>Logistik dan Eco-Fishing Port</v>
      </c>
      <c r="E656" s="44">
        <f ca="1">IFERROR(VLOOKUP(A656,Mentah!D:J,7,FALSE),"")</f>
        <v>2</v>
      </c>
      <c r="F656" s="44" t="str">
        <f ca="1">IFERROR(VLOOKUP(A656,Mentah!D:K,8,FALSE),"")</f>
        <v>P055</v>
      </c>
      <c r="G656" s="35" t="str">
        <f t="shared" ca="1" si="18"/>
        <v>('LOG1623','Logistik dan Eco-Fishing Port','2','P055'),</v>
      </c>
    </row>
    <row r="657" spans="1:7" ht="12.5" x14ac:dyDescent="0.25">
      <c r="A657" s="9" t="str">
        <f ca="1">IFERROR(__xludf.DUMMYFUNCTION("""COMPUTED_VALUE"""),"LOG1631 - Transportasi Ternak dan Produk Ternak")</f>
        <v>LOG1631 - Transportasi Ternak dan Produk Ternak</v>
      </c>
      <c r="B657" s="44">
        <v>656</v>
      </c>
      <c r="C657" s="35" t="str">
        <f t="shared" ca="1" si="23"/>
        <v>LOG1631</v>
      </c>
      <c r="D657" s="35" t="str">
        <f t="shared" ca="1" si="24"/>
        <v>Transportasi Ternak dan Produk Ternak</v>
      </c>
      <c r="E657" s="44">
        <f ca="1">IFERROR(VLOOKUP(A657,Mentah!D:J,7,FALSE),"")</f>
        <v>1</v>
      </c>
      <c r="F657" s="44" t="str">
        <f ca="1">IFERROR(VLOOKUP(A657,Mentah!D:K,8,FALSE),"")</f>
        <v>P055</v>
      </c>
      <c r="G657" s="35" t="str">
        <f t="shared" ca="1" si="18"/>
        <v>('LOG1631','Transportasi Ternak dan Produk Ternak','1','P055'),</v>
      </c>
    </row>
    <row r="658" spans="1:7" ht="12.5" x14ac:dyDescent="0.25">
      <c r="A658" s="9" t="str">
        <f ca="1">IFERROR(__xludf.DUMMYFUNCTION("""COMPUTED_VALUE"""),"LOG1612 - Manajemen Kualitas Bahan Pertanian")</f>
        <v>LOG1612 - Manajemen Kualitas Bahan Pertanian</v>
      </c>
      <c r="B658" s="44">
        <v>657</v>
      </c>
      <c r="C658" s="35" t="str">
        <f t="shared" ca="1" si="23"/>
        <v>LOG1612</v>
      </c>
      <c r="D658" s="35" t="str">
        <f t="shared" ca="1" si="24"/>
        <v>Manajemen Kualitas Bahan Pertanian</v>
      </c>
      <c r="E658" s="44">
        <f ca="1">IFERROR(VLOOKUP(A658,Mentah!D:J,7,FALSE),"")</f>
        <v>2</v>
      </c>
      <c r="F658" s="44" t="str">
        <f ca="1">IFERROR(VLOOKUP(A658,Mentah!D:K,8,FALSE),"")</f>
        <v>P055</v>
      </c>
      <c r="G658" s="35" t="str">
        <f t="shared" ca="1" si="18"/>
        <v>('LOG1612','Manajemen Kualitas Bahan Pertanian','2','P055'),</v>
      </c>
    </row>
    <row r="659" spans="1:7" ht="12.5" x14ac:dyDescent="0.25">
      <c r="A659" s="9" t="str">
        <f ca="1">IFERROR(__xludf.DUMMYFUNCTION("""COMPUTED_VALUE"""),"LOG1622 - Kebijakan Pengembangan Sistem Logistik Ikan Nasional")</f>
        <v>LOG1622 - Kebijakan Pengembangan Sistem Logistik Ikan Nasional</v>
      </c>
      <c r="B659" s="44">
        <v>658</v>
      </c>
      <c r="C659" s="35" t="str">
        <f t="shared" ca="1" si="23"/>
        <v>LOG1622</v>
      </c>
      <c r="D659" s="35" t="str">
        <f t="shared" ca="1" si="24"/>
        <v>Kebijakan Pengembangan Sistem Logistik Ikan Nasional</v>
      </c>
      <c r="E659" s="44">
        <f ca="1">IFERROR(VLOOKUP(A659,Mentah!D:J,7,FALSE),"")</f>
        <v>2</v>
      </c>
      <c r="F659" s="44" t="str">
        <f ca="1">IFERROR(VLOOKUP(A659,Mentah!D:K,8,FALSE),"")</f>
        <v>P055</v>
      </c>
      <c r="G659" s="35" t="str">
        <f t="shared" ca="1" si="18"/>
        <v>('LOG1622','Kebijakan Pengembangan Sistem Logistik Ikan Nasional','2','P055'),</v>
      </c>
    </row>
    <row r="660" spans="1:7" ht="12.5" x14ac:dyDescent="0.25">
      <c r="A660" s="9" t="str">
        <f ca="1">IFERROR(__xludf.DUMMYFUNCTION("""COMPUTED_VALUE"""),"LOG1641 - Kebijakan Logistik Agro-Maritim")</f>
        <v>LOG1641 - Kebijakan Logistik Agro-Maritim</v>
      </c>
      <c r="B660" s="44">
        <v>659</v>
      </c>
      <c r="C660" s="35" t="str">
        <f t="shared" ca="1" si="23"/>
        <v>LOG1641</v>
      </c>
      <c r="D660" s="35" t="str">
        <f t="shared" ca="1" si="24"/>
        <v>Kebijakan Logistik Agro-Maritim</v>
      </c>
      <c r="E660" s="44">
        <f ca="1">IFERROR(VLOOKUP(A660,Mentah!D:J,7,FALSE),"")</f>
        <v>2</v>
      </c>
      <c r="F660" s="44" t="str">
        <f ca="1">IFERROR(VLOOKUP(A660,Mentah!D:K,8,FALSE),"")</f>
        <v>P055</v>
      </c>
      <c r="G660" s="35" t="str">
        <f t="shared" ca="1" si="18"/>
        <v>('LOG1641','Kebijakan Logistik Agro-Maritim','2','P055'),</v>
      </c>
    </row>
    <row r="661" spans="1:7" ht="12.5" x14ac:dyDescent="0.25">
      <c r="A661" s="9" t="str">
        <f ca="1">IFERROR(__xludf.DUMMYFUNCTION("""COMPUTED_VALUE"""),"LOG1613 - Topik Khusus")</f>
        <v>LOG1613 - Topik Khusus</v>
      </c>
      <c r="B661" s="44">
        <v>660</v>
      </c>
      <c r="C661" s="35" t="str">
        <f t="shared" ca="1" si="23"/>
        <v>LOG1613</v>
      </c>
      <c r="D661" s="35" t="str">
        <f t="shared" ca="1" si="24"/>
        <v>Topik Khusus</v>
      </c>
      <c r="E661" s="44">
        <f ca="1">IFERROR(VLOOKUP(A661,Mentah!D:J,7,FALSE),"")</f>
        <v>2</v>
      </c>
      <c r="F661" s="44" t="str">
        <f ca="1">IFERROR(VLOOKUP(A661,Mentah!D:K,8,FALSE),"")</f>
        <v>P055</v>
      </c>
      <c r="G661" s="35" t="str">
        <f t="shared" ca="1" si="18"/>
        <v>('LOG1613','Topik Khusus','2','P055'),</v>
      </c>
    </row>
    <row r="662" spans="1:7" ht="12.5" x14ac:dyDescent="0.25">
      <c r="A662" s="9" t="str">
        <f ca="1">IFERROR(__xludf.DUMMYFUNCTION("""COMPUTED_VALUE"""),"LOG1642 - Sistem Rantai Pasok Industri Bahan Penyegar dan Minyak Atsiri")</f>
        <v>LOG1642 - Sistem Rantai Pasok Industri Bahan Penyegar dan Minyak Atsiri</v>
      </c>
      <c r="B662" s="44">
        <v>661</v>
      </c>
      <c r="C662" s="35" t="str">
        <f t="shared" ca="1" si="23"/>
        <v>LOG1642</v>
      </c>
      <c r="D662" s="35" t="str">
        <f t="shared" ca="1" si="24"/>
        <v>Sistem Rantai Pasok Industri Bahan Penyegar dan Minyak Atsiri</v>
      </c>
      <c r="E662" s="44">
        <f ca="1">IFERROR(VLOOKUP(A662,Mentah!D:J,7,FALSE),"")</f>
        <v>2</v>
      </c>
      <c r="F662" s="44" t="str">
        <f ca="1">IFERROR(VLOOKUP(A662,Mentah!D:K,8,FALSE),"")</f>
        <v>P055</v>
      </c>
      <c r="G662" s="35" t="str">
        <f t="shared" ca="1" si="18"/>
        <v>('LOG1642','Sistem Rantai Pasok Industri Bahan Penyegar dan Minyak Atsiri','2','P055'),</v>
      </c>
    </row>
    <row r="663" spans="1:7" ht="12.5" x14ac:dyDescent="0.25">
      <c r="A663" s="9" t="str">
        <f ca="1">IFERROR(__xludf.DUMMYFUNCTION("""COMPUTED_VALUE"""),"LOG1624 - Dinamika Permintaan Hasil Perikanan")</f>
        <v>LOG1624 - Dinamika Permintaan Hasil Perikanan</v>
      </c>
      <c r="B663" s="44">
        <v>662</v>
      </c>
      <c r="C663" s="35" t="str">
        <f t="shared" ca="1" si="23"/>
        <v>LOG1624</v>
      </c>
      <c r="D663" s="35" t="str">
        <f t="shared" ca="1" si="24"/>
        <v>Dinamika Permintaan Hasil Perikanan</v>
      </c>
      <c r="E663" s="44">
        <f ca="1">IFERROR(VLOOKUP(A663,Mentah!D:J,7,FALSE),"")</f>
        <v>2</v>
      </c>
      <c r="F663" s="44" t="str">
        <f ca="1">IFERROR(VLOOKUP(A663,Mentah!D:K,8,FALSE),"")</f>
        <v>P055</v>
      </c>
      <c r="G663" s="35" t="str">
        <f t="shared" ca="1" si="18"/>
        <v>('LOG1624','Dinamika Permintaan Hasil Perikanan','2','P055'),</v>
      </c>
    </row>
    <row r="664" spans="1:7" ht="12.5" x14ac:dyDescent="0.25">
      <c r="A664" s="9" t="str">
        <f ca="1">IFERROR(__xludf.DUMMYFUNCTION("""COMPUTED_VALUE"""),"LOG1614 - GMP pada Produk Pertanian")</f>
        <v>LOG1614 - GMP pada Produk Pertanian</v>
      </c>
      <c r="B664" s="44">
        <v>663</v>
      </c>
      <c r="C664" s="35" t="str">
        <f t="shared" ca="1" si="23"/>
        <v>LOG1614</v>
      </c>
      <c r="D664" s="35" t="str">
        <f t="shared" ca="1" si="24"/>
        <v>GMP pada Produk Pertanian</v>
      </c>
      <c r="E664" s="44">
        <f ca="1">IFERROR(VLOOKUP(A664,Mentah!D:J,7,FALSE),"")</f>
        <v>2</v>
      </c>
      <c r="F664" s="44" t="str">
        <f ca="1">IFERROR(VLOOKUP(A664,Mentah!D:K,8,FALSE),"")</f>
        <v>P055</v>
      </c>
      <c r="G664" s="35" t="str">
        <f t="shared" ca="1" si="18"/>
        <v>('LOG1614','GMP pada Produk Pertanian','2','P055'),</v>
      </c>
    </row>
    <row r="665" spans="1:7" ht="12.5" x14ac:dyDescent="0.25">
      <c r="A665" s="9" t="str">
        <f ca="1">IFERROR(__xludf.DUMMYFUNCTION("""COMPUTED_VALUE"""),"LOG1611 - Penanganan Hasil Pertanian")</f>
        <v>LOG1611 - Penanganan Hasil Pertanian</v>
      </c>
      <c r="B665" s="44">
        <v>664</v>
      </c>
      <c r="C665" s="35" t="str">
        <f t="shared" ca="1" si="23"/>
        <v>LOG1611</v>
      </c>
      <c r="D665" s="35" t="str">
        <f t="shared" ca="1" si="24"/>
        <v>Penanganan Hasil Pertanian</v>
      </c>
      <c r="E665" s="44">
        <f ca="1">IFERROR(VLOOKUP(A665,Mentah!D:J,7,FALSE),"")</f>
        <v>2</v>
      </c>
      <c r="F665" s="44" t="str">
        <f ca="1">IFERROR(VLOOKUP(A665,Mentah!D:K,8,FALSE),"")</f>
        <v>P055</v>
      </c>
      <c r="G665" s="35" t="str">
        <f t="shared" ca="1" si="18"/>
        <v>('LOG1611','Penanganan Hasil Pertanian','2','P055'),</v>
      </c>
    </row>
    <row r="666" spans="1:7" ht="12.5" x14ac:dyDescent="0.25">
      <c r="A666" s="9" t="str">
        <f ca="1">IFERROR(__xludf.DUMMYFUNCTION("""COMPUTED_VALUE"""),"LOG1632 - Kualitas dan Keamanan Produk Ternak")</f>
        <v>LOG1632 - Kualitas dan Keamanan Produk Ternak</v>
      </c>
      <c r="B666" s="44">
        <v>665</v>
      </c>
      <c r="C666" s="35" t="str">
        <f t="shared" ca="1" si="23"/>
        <v>LOG1632</v>
      </c>
      <c r="D666" s="35" t="str">
        <f t="shared" ca="1" si="24"/>
        <v>Kualitas dan Keamanan Produk Ternak</v>
      </c>
      <c r="E666" s="44">
        <f ca="1">IFERROR(VLOOKUP(A666,Mentah!D:J,7,FALSE),"")</f>
        <v>1</v>
      </c>
      <c r="F666" s="44" t="str">
        <f ca="1">IFERROR(VLOOKUP(A666,Mentah!D:K,8,FALSE),"")</f>
        <v>P055</v>
      </c>
      <c r="G666" s="35" t="str">
        <f t="shared" ca="1" si="18"/>
        <v>('LOG1632','Kualitas dan Keamanan Produk Ternak','1','P055'),</v>
      </c>
    </row>
    <row r="667" spans="1:7" ht="12.5" x14ac:dyDescent="0.25">
      <c r="A667" s="9" t="str">
        <f ca="1">IFERROR(__xludf.DUMMYFUNCTION("""COMPUTED_VALUE"""),"LOG1621 - Transportasi Laut Hasil Perikanan")</f>
        <v>LOG1621 - Transportasi Laut Hasil Perikanan</v>
      </c>
      <c r="B667" s="44">
        <v>666</v>
      </c>
      <c r="C667" s="35" t="str">
        <f t="shared" ca="1" si="23"/>
        <v>LOG1621</v>
      </c>
      <c r="D667" s="35" t="str">
        <f t="shared" ca="1" si="24"/>
        <v>Transportasi Laut Hasil Perikanan</v>
      </c>
      <c r="E667" s="44">
        <f ca="1">IFERROR(VLOOKUP(A667,Mentah!D:J,7,FALSE),"")</f>
        <v>2</v>
      </c>
      <c r="F667" s="44" t="str">
        <f ca="1">IFERROR(VLOOKUP(A667,Mentah!D:K,8,FALSE),"")</f>
        <v>P055</v>
      </c>
      <c r="G667" s="35" t="str">
        <f t="shared" ca="1" si="18"/>
        <v>('LOG1621','Transportasi Laut Hasil Perikanan','2','P055'),</v>
      </c>
    </row>
    <row r="668" spans="1:7" ht="12.5" x14ac:dyDescent="0.25">
      <c r="A668" s="9" t="str">
        <f ca="1">IFERROR(__xludf.DUMMYFUNCTION("""COMPUTED_VALUE"""),"LOG1625 - GSCM Komoditas Maritim")</f>
        <v>LOG1625 - GSCM Komoditas Maritim</v>
      </c>
      <c r="B668" s="44">
        <v>667</v>
      </c>
      <c r="C668" s="35" t="str">
        <f t="shared" ca="1" si="23"/>
        <v>LOG1625</v>
      </c>
      <c r="D668" s="35" t="str">
        <f t="shared" ca="1" si="24"/>
        <v>GSCM Komoditas Maritim</v>
      </c>
      <c r="E668" s="44">
        <f ca="1">IFERROR(VLOOKUP(A668,Mentah!D:J,7,FALSE),"")</f>
        <v>2</v>
      </c>
      <c r="F668" s="44" t="str">
        <f ca="1">IFERROR(VLOOKUP(A668,Mentah!D:K,8,FALSE),"")</f>
        <v>P055</v>
      </c>
      <c r="G668" s="35" t="str">
        <f t="shared" ca="1" si="18"/>
        <v>('LOG1625','GSCM Komoditas Maritim','2','P055'),</v>
      </c>
    </row>
    <row r="669" spans="1:7" ht="12.5" x14ac:dyDescent="0.25">
      <c r="A669" s="9"/>
      <c r="B669" s="16"/>
      <c r="C669" s="9"/>
      <c r="D669" s="9"/>
      <c r="E669" s="16"/>
      <c r="F669" s="16"/>
      <c r="G669" s="9"/>
    </row>
    <row r="670" spans="1:7" ht="12.5" x14ac:dyDescent="0.25">
      <c r="B670" s="16"/>
      <c r="C670" s="9"/>
      <c r="D670" s="9"/>
      <c r="E670" s="16"/>
      <c r="F670" s="16"/>
      <c r="G670" s="9"/>
    </row>
    <row r="671" spans="1:7" ht="12.5" x14ac:dyDescent="0.25">
      <c r="B671" s="16"/>
      <c r="C671" s="9"/>
      <c r="D671" s="9"/>
      <c r="E671" s="16"/>
      <c r="F671" s="16"/>
      <c r="G671" s="9"/>
    </row>
    <row r="672" spans="1:7" ht="12.5" x14ac:dyDescent="0.25">
      <c r="B672" s="16"/>
      <c r="C672" s="9"/>
      <c r="D672" s="9"/>
      <c r="E672" s="16"/>
      <c r="F672" s="16"/>
      <c r="G672" s="9"/>
    </row>
    <row r="673" spans="2:7" ht="12.5" x14ac:dyDescent="0.25">
      <c r="B673" s="16"/>
      <c r="C673" s="9"/>
      <c r="D673" s="9"/>
      <c r="E673" s="16"/>
      <c r="F673" s="16"/>
      <c r="G673" s="9"/>
    </row>
    <row r="674" spans="2:7" ht="12.5" x14ac:dyDescent="0.25">
      <c r="B674" s="16"/>
      <c r="C674" s="9"/>
      <c r="D674" s="9"/>
      <c r="E674" s="16"/>
      <c r="F674" s="16"/>
      <c r="G674" s="9"/>
    </row>
    <row r="675" spans="2:7" ht="12.5" x14ac:dyDescent="0.25">
      <c r="B675" s="16"/>
      <c r="C675" s="9"/>
      <c r="D675" s="9"/>
      <c r="E675" s="16"/>
      <c r="F675" s="16"/>
      <c r="G675" s="9"/>
    </row>
    <row r="676" spans="2:7" ht="12.5" x14ac:dyDescent="0.25">
      <c r="B676" s="16"/>
      <c r="C676" s="9"/>
      <c r="D676" s="9"/>
      <c r="E676" s="16"/>
      <c r="F676" s="16"/>
      <c r="G676" s="9"/>
    </row>
    <row r="677" spans="2:7" ht="12.5" x14ac:dyDescent="0.25">
      <c r="B677" s="16"/>
      <c r="C677" s="9"/>
      <c r="D677" s="9"/>
      <c r="E677" s="16"/>
      <c r="F677" s="16"/>
      <c r="G677" s="9"/>
    </row>
    <row r="678" spans="2:7" ht="12.5" x14ac:dyDescent="0.25">
      <c r="B678" s="16"/>
      <c r="C678" s="9"/>
      <c r="D678" s="9"/>
      <c r="E678" s="16"/>
      <c r="F678" s="16"/>
      <c r="G678" s="9"/>
    </row>
    <row r="679" spans="2:7" ht="12.5" x14ac:dyDescent="0.25">
      <c r="B679" s="16"/>
      <c r="C679" s="9"/>
      <c r="D679" s="9"/>
      <c r="E679" s="16"/>
      <c r="F679" s="16"/>
      <c r="G679" s="9"/>
    </row>
    <row r="680" spans="2:7" ht="12.5" x14ac:dyDescent="0.25">
      <c r="B680" s="16"/>
      <c r="C680" s="9"/>
      <c r="D680" s="9"/>
      <c r="E680" s="16"/>
      <c r="F680" s="16"/>
      <c r="G680" s="9"/>
    </row>
    <row r="681" spans="2:7" ht="12.5" x14ac:dyDescent="0.25">
      <c r="B681" s="16"/>
      <c r="C681" s="9"/>
      <c r="D681" s="9"/>
      <c r="E681" s="16"/>
      <c r="F681" s="16"/>
      <c r="G681" s="9"/>
    </row>
    <row r="682" spans="2:7" ht="12.5" x14ac:dyDescent="0.25">
      <c r="B682" s="16"/>
      <c r="C682" s="9"/>
      <c r="D682" s="9"/>
      <c r="E682" s="16"/>
      <c r="F682" s="16"/>
      <c r="G682" s="9"/>
    </row>
    <row r="683" spans="2:7" ht="12.5" x14ac:dyDescent="0.25">
      <c r="B683" s="16"/>
      <c r="C683" s="9"/>
      <c r="D683" s="9"/>
      <c r="E683" s="16"/>
      <c r="F683" s="16"/>
      <c r="G683" s="9"/>
    </row>
    <row r="684" spans="2:7" ht="12.5" x14ac:dyDescent="0.25">
      <c r="B684" s="16"/>
      <c r="C684" s="9"/>
      <c r="D684" s="9"/>
      <c r="E684" s="16"/>
      <c r="F684" s="16"/>
      <c r="G684" s="9"/>
    </row>
    <row r="685" spans="2:7" ht="12.5" x14ac:dyDescent="0.25">
      <c r="B685" s="16"/>
      <c r="C685" s="9"/>
      <c r="D685" s="9"/>
      <c r="E685" s="16"/>
      <c r="F685" s="16"/>
      <c r="G685" s="9"/>
    </row>
    <row r="686" spans="2:7" ht="12.5" x14ac:dyDescent="0.25">
      <c r="B686" s="16"/>
      <c r="C686" s="9"/>
      <c r="D686" s="9"/>
      <c r="E686" s="16"/>
      <c r="F686" s="16"/>
      <c r="G686" s="9"/>
    </row>
    <row r="687" spans="2:7" ht="12.5" x14ac:dyDescent="0.25">
      <c r="B687" s="16"/>
      <c r="C687" s="9"/>
      <c r="D687" s="9"/>
      <c r="E687" s="16"/>
      <c r="F687" s="16"/>
      <c r="G687" s="9"/>
    </row>
    <row r="688" spans="2:7" ht="12.5" x14ac:dyDescent="0.25">
      <c r="B688" s="16"/>
      <c r="C688" s="9"/>
      <c r="D688" s="9"/>
      <c r="E688" s="16"/>
      <c r="F688" s="16"/>
      <c r="G688" s="9"/>
    </row>
    <row r="689" spans="2:7" ht="12.5" x14ac:dyDescent="0.25">
      <c r="B689" s="16"/>
      <c r="C689" s="9"/>
      <c r="D689" s="9"/>
      <c r="E689" s="16"/>
      <c r="F689" s="16"/>
      <c r="G689" s="9"/>
    </row>
    <row r="690" spans="2:7" ht="12.5" x14ac:dyDescent="0.25">
      <c r="B690" s="16"/>
      <c r="C690" s="9"/>
      <c r="D690" s="9"/>
      <c r="E690" s="16"/>
      <c r="F690" s="16"/>
      <c r="G690" s="9"/>
    </row>
    <row r="691" spans="2:7" ht="12.5" x14ac:dyDescent="0.25">
      <c r="B691" s="16"/>
      <c r="C691" s="9"/>
      <c r="D691" s="9"/>
      <c r="E691" s="16"/>
      <c r="F691" s="16"/>
      <c r="G691" s="9"/>
    </row>
    <row r="692" spans="2:7" ht="12.5" x14ac:dyDescent="0.25">
      <c r="B692" s="16"/>
      <c r="C692" s="9"/>
      <c r="D692" s="9"/>
      <c r="E692" s="16"/>
      <c r="F692" s="16"/>
      <c r="G692" s="9"/>
    </row>
    <row r="693" spans="2:7" ht="12.5" x14ac:dyDescent="0.25">
      <c r="B693" s="16"/>
      <c r="C693" s="9"/>
      <c r="D693" s="9"/>
      <c r="E693" s="16"/>
      <c r="F693" s="16"/>
      <c r="G693" s="9"/>
    </row>
    <row r="694" spans="2:7" ht="12.5" x14ac:dyDescent="0.25">
      <c r="B694" s="16"/>
      <c r="C694" s="9"/>
      <c r="D694" s="9"/>
      <c r="E694" s="16"/>
      <c r="F694" s="16"/>
      <c r="G694" s="9"/>
    </row>
    <row r="695" spans="2:7" ht="12.5" x14ac:dyDescent="0.25">
      <c r="B695" s="16"/>
      <c r="C695" s="9"/>
      <c r="D695" s="9"/>
      <c r="E695" s="16"/>
      <c r="F695" s="16"/>
      <c r="G695" s="9"/>
    </row>
    <row r="696" spans="2:7" ht="12.5" x14ac:dyDescent="0.25">
      <c r="B696" s="16"/>
      <c r="C696" s="9"/>
      <c r="D696" s="9"/>
      <c r="E696" s="16"/>
      <c r="F696" s="16"/>
      <c r="G696" s="9"/>
    </row>
    <row r="697" spans="2:7" ht="12.5" x14ac:dyDescent="0.25">
      <c r="B697" s="16"/>
      <c r="C697" s="9"/>
      <c r="D697" s="9"/>
      <c r="E697" s="16"/>
      <c r="F697" s="16"/>
      <c r="G697" s="9"/>
    </row>
    <row r="698" spans="2:7" ht="12.5" x14ac:dyDescent="0.25">
      <c r="B698" s="16"/>
      <c r="C698" s="9"/>
      <c r="D698" s="9"/>
      <c r="E698" s="16"/>
      <c r="F698" s="16"/>
      <c r="G698" s="9"/>
    </row>
    <row r="699" spans="2:7" ht="12.5" x14ac:dyDescent="0.25">
      <c r="B699" s="16"/>
      <c r="C699" s="9"/>
      <c r="D699" s="9"/>
      <c r="E699" s="16"/>
      <c r="F699" s="16"/>
      <c r="G699" s="9"/>
    </row>
    <row r="700" spans="2:7" ht="12.5" x14ac:dyDescent="0.25">
      <c r="B700" s="16"/>
      <c r="C700" s="9"/>
      <c r="D700" s="9"/>
      <c r="E700" s="16"/>
      <c r="F700" s="16"/>
      <c r="G700" s="9"/>
    </row>
    <row r="701" spans="2:7" ht="12.5" x14ac:dyDescent="0.25">
      <c r="B701" s="16"/>
      <c r="C701" s="9"/>
      <c r="D701" s="9"/>
      <c r="E701" s="16"/>
      <c r="F701" s="16"/>
      <c r="G701" s="9"/>
    </row>
    <row r="702" spans="2:7" ht="12.5" x14ac:dyDescent="0.25">
      <c r="B702" s="16"/>
      <c r="C702" s="9"/>
      <c r="D702" s="9"/>
      <c r="E702" s="16"/>
      <c r="F702" s="16"/>
      <c r="G702" s="9"/>
    </row>
    <row r="703" spans="2:7" ht="12.5" x14ac:dyDescent="0.25">
      <c r="B703" s="16"/>
      <c r="C703" s="9"/>
      <c r="D703" s="9"/>
      <c r="E703" s="16"/>
      <c r="F703" s="16"/>
      <c r="G703" s="9"/>
    </row>
    <row r="704" spans="2:7" ht="12.5" x14ac:dyDescent="0.25">
      <c r="B704" s="16"/>
      <c r="C704" s="9"/>
      <c r="D704" s="9"/>
      <c r="E704" s="16"/>
      <c r="F704" s="16"/>
      <c r="G704" s="9"/>
    </row>
    <row r="705" spans="2:7" ht="12.5" x14ac:dyDescent="0.25">
      <c r="B705" s="16"/>
      <c r="C705" s="9"/>
      <c r="D705" s="9"/>
      <c r="E705" s="16"/>
      <c r="F705" s="16"/>
      <c r="G705" s="9"/>
    </row>
    <row r="706" spans="2:7" ht="12.5" x14ac:dyDescent="0.25">
      <c r="B706" s="16"/>
      <c r="C706" s="9"/>
      <c r="D706" s="9"/>
      <c r="E706" s="16"/>
      <c r="F706" s="16"/>
      <c r="G706" s="9"/>
    </row>
    <row r="707" spans="2:7" ht="12.5" x14ac:dyDescent="0.25">
      <c r="B707" s="16"/>
      <c r="C707" s="9"/>
      <c r="D707" s="9"/>
      <c r="E707" s="16"/>
      <c r="F707" s="16"/>
      <c r="G707" s="9"/>
    </row>
    <row r="708" spans="2:7" ht="12.5" x14ac:dyDescent="0.25">
      <c r="B708" s="16"/>
      <c r="C708" s="9"/>
      <c r="D708" s="9"/>
      <c r="E708" s="16"/>
      <c r="F708" s="16"/>
      <c r="G708" s="9"/>
    </row>
    <row r="709" spans="2:7" ht="12.5" x14ac:dyDescent="0.25">
      <c r="B709" s="16"/>
      <c r="C709" s="9"/>
      <c r="D709" s="9"/>
      <c r="E709" s="16"/>
      <c r="F709" s="16"/>
      <c r="G709" s="9"/>
    </row>
    <row r="710" spans="2:7" ht="12.5" x14ac:dyDescent="0.25">
      <c r="B710" s="16"/>
      <c r="C710" s="9"/>
      <c r="D710" s="9"/>
      <c r="E710" s="16"/>
      <c r="F710" s="16"/>
      <c r="G710" s="9"/>
    </row>
    <row r="711" spans="2:7" ht="12.5" x14ac:dyDescent="0.25">
      <c r="B711" s="16"/>
      <c r="C711" s="9"/>
      <c r="D711" s="9"/>
      <c r="E711" s="16"/>
      <c r="F711" s="16"/>
      <c r="G711" s="9"/>
    </row>
    <row r="712" spans="2:7" ht="12.5" x14ac:dyDescent="0.25">
      <c r="B712" s="16"/>
      <c r="C712" s="9"/>
      <c r="D712" s="9"/>
      <c r="E712" s="16"/>
      <c r="F712" s="16"/>
      <c r="G712" s="9"/>
    </row>
    <row r="713" spans="2:7" ht="12.5" x14ac:dyDescent="0.25">
      <c r="B713" s="16"/>
      <c r="C713" s="9"/>
      <c r="D713" s="9"/>
      <c r="E713" s="16"/>
      <c r="F713" s="16"/>
      <c r="G713" s="9"/>
    </row>
    <row r="714" spans="2:7" ht="12.5" x14ac:dyDescent="0.25">
      <c r="B714" s="16"/>
      <c r="C714" s="9"/>
      <c r="D714" s="9"/>
      <c r="E714" s="16"/>
      <c r="F714" s="16"/>
      <c r="G714" s="9"/>
    </row>
    <row r="715" spans="2:7" ht="12.5" x14ac:dyDescent="0.25">
      <c r="B715" s="16"/>
      <c r="C715" s="9"/>
      <c r="D715" s="9"/>
      <c r="E715" s="16"/>
      <c r="F715" s="16"/>
      <c r="G715" s="9"/>
    </row>
    <row r="716" spans="2:7" ht="12.5" x14ac:dyDescent="0.25">
      <c r="B716" s="16"/>
      <c r="C716" s="9"/>
      <c r="D716" s="9"/>
      <c r="E716" s="16"/>
      <c r="F716" s="16"/>
      <c r="G716" s="9"/>
    </row>
    <row r="717" spans="2:7" ht="12.5" x14ac:dyDescent="0.25">
      <c r="B717" s="16"/>
      <c r="C717" s="9"/>
      <c r="D717" s="9"/>
      <c r="E717" s="16"/>
      <c r="F717" s="16"/>
      <c r="G717" s="9"/>
    </row>
    <row r="718" spans="2:7" ht="12.5" x14ac:dyDescent="0.25">
      <c r="B718" s="16"/>
      <c r="C718" s="9"/>
      <c r="D718" s="9"/>
      <c r="E718" s="16"/>
      <c r="F718" s="16"/>
      <c r="G718" s="9"/>
    </row>
    <row r="719" spans="2:7" ht="12.5" x14ac:dyDescent="0.25">
      <c r="B719" s="16"/>
      <c r="C719" s="9"/>
      <c r="D719" s="9"/>
      <c r="E719" s="16"/>
      <c r="F719" s="16"/>
      <c r="G719" s="9"/>
    </row>
    <row r="720" spans="2:7" ht="12.5" x14ac:dyDescent="0.25">
      <c r="B720" s="16"/>
      <c r="C720" s="9"/>
      <c r="D720" s="9"/>
      <c r="E720" s="16"/>
      <c r="F720" s="16"/>
      <c r="G720" s="9"/>
    </row>
    <row r="721" spans="2:7" ht="12.5" x14ac:dyDescent="0.25">
      <c r="B721" s="16"/>
      <c r="C721" s="9"/>
      <c r="D721" s="9"/>
      <c r="E721" s="16"/>
      <c r="F721" s="16"/>
      <c r="G721" s="9"/>
    </row>
    <row r="722" spans="2:7" ht="12.5" x14ac:dyDescent="0.25">
      <c r="B722" s="16"/>
      <c r="C722" s="9"/>
      <c r="D722" s="9"/>
      <c r="E722" s="16"/>
      <c r="F722" s="16"/>
      <c r="G722" s="9"/>
    </row>
    <row r="723" spans="2:7" ht="12.5" x14ac:dyDescent="0.25">
      <c r="B723" s="16"/>
      <c r="C723" s="9"/>
      <c r="D723" s="9"/>
      <c r="E723" s="16"/>
      <c r="F723" s="16"/>
      <c r="G723" s="9"/>
    </row>
    <row r="724" spans="2:7" ht="12.5" x14ac:dyDescent="0.25">
      <c r="B724" s="16"/>
      <c r="C724" s="9"/>
      <c r="D724" s="9"/>
      <c r="E724" s="16"/>
      <c r="F724" s="16"/>
      <c r="G724" s="9"/>
    </row>
    <row r="725" spans="2:7" ht="12.5" x14ac:dyDescent="0.25">
      <c r="B725" s="16"/>
      <c r="C725" s="9"/>
      <c r="D725" s="9"/>
      <c r="E725" s="16"/>
      <c r="F725" s="16"/>
      <c r="G725" s="9"/>
    </row>
    <row r="726" spans="2:7" ht="12.5" x14ac:dyDescent="0.25">
      <c r="B726" s="16"/>
      <c r="C726" s="9"/>
      <c r="D726" s="9"/>
      <c r="E726" s="16"/>
      <c r="F726" s="16"/>
      <c r="G726" s="9"/>
    </row>
    <row r="727" spans="2:7" ht="12.5" x14ac:dyDescent="0.25">
      <c r="B727" s="16"/>
      <c r="C727" s="9"/>
      <c r="D727" s="9"/>
      <c r="E727" s="16"/>
      <c r="F727" s="16"/>
      <c r="G727" s="9"/>
    </row>
    <row r="728" spans="2:7" ht="12.5" x14ac:dyDescent="0.25">
      <c r="B728" s="16"/>
      <c r="C728" s="9"/>
      <c r="D728" s="9"/>
      <c r="E728" s="16"/>
      <c r="F728" s="16"/>
      <c r="G728" s="9"/>
    </row>
    <row r="729" spans="2:7" ht="12.5" x14ac:dyDescent="0.25">
      <c r="B729" s="16"/>
      <c r="C729" s="9"/>
      <c r="D729" s="9"/>
      <c r="E729" s="16"/>
      <c r="F729" s="16"/>
      <c r="G729" s="9"/>
    </row>
    <row r="730" spans="2:7" ht="12.5" x14ac:dyDescent="0.25">
      <c r="B730" s="16"/>
      <c r="C730" s="9"/>
      <c r="D730" s="9"/>
      <c r="E730" s="16"/>
      <c r="F730" s="16"/>
      <c r="G730" s="9"/>
    </row>
    <row r="731" spans="2:7" ht="12.5" x14ac:dyDescent="0.25">
      <c r="B731" s="16"/>
      <c r="C731" s="9"/>
      <c r="D731" s="9"/>
      <c r="E731" s="16"/>
      <c r="F731" s="16"/>
      <c r="G731" s="9"/>
    </row>
    <row r="732" spans="2:7" ht="12.5" x14ac:dyDescent="0.25">
      <c r="B732" s="16"/>
      <c r="C732" s="9"/>
      <c r="D732" s="9"/>
      <c r="E732" s="16"/>
      <c r="F732" s="16"/>
      <c r="G732" s="9"/>
    </row>
    <row r="733" spans="2:7" ht="12.5" x14ac:dyDescent="0.25">
      <c r="B733" s="16"/>
      <c r="C733" s="9"/>
      <c r="D733" s="9"/>
      <c r="E733" s="16"/>
      <c r="F733" s="16"/>
      <c r="G733" s="9"/>
    </row>
    <row r="734" spans="2:7" ht="12.5" x14ac:dyDescent="0.25">
      <c r="B734" s="16"/>
      <c r="C734" s="9"/>
      <c r="D734" s="9"/>
      <c r="E734" s="16"/>
      <c r="F734" s="16"/>
      <c r="G734" s="9"/>
    </row>
    <row r="735" spans="2:7" ht="12.5" x14ac:dyDescent="0.25">
      <c r="B735" s="16"/>
      <c r="C735" s="9"/>
      <c r="D735" s="9"/>
      <c r="E735" s="16"/>
      <c r="F735" s="16"/>
      <c r="G735" s="9"/>
    </row>
    <row r="736" spans="2:7" ht="12.5" x14ac:dyDescent="0.25">
      <c r="B736" s="16"/>
      <c r="C736" s="9"/>
      <c r="D736" s="9"/>
      <c r="E736" s="16"/>
      <c r="F736" s="16"/>
      <c r="G736" s="9"/>
    </row>
    <row r="737" spans="2:7" ht="12.5" x14ac:dyDescent="0.25">
      <c r="B737" s="16"/>
      <c r="C737" s="9"/>
      <c r="D737" s="9"/>
      <c r="E737" s="16"/>
      <c r="F737" s="16"/>
      <c r="G737" s="9"/>
    </row>
    <row r="738" spans="2:7" ht="12.5" x14ac:dyDescent="0.25">
      <c r="B738" s="16"/>
      <c r="C738" s="9"/>
      <c r="D738" s="9"/>
      <c r="E738" s="16"/>
      <c r="F738" s="16"/>
      <c r="G738" s="9"/>
    </row>
    <row r="739" spans="2:7" ht="12.5" x14ac:dyDescent="0.25">
      <c r="B739" s="16"/>
      <c r="C739" s="9"/>
      <c r="D739" s="9"/>
      <c r="E739" s="16"/>
      <c r="F739" s="16"/>
      <c r="G739" s="9"/>
    </row>
    <row r="740" spans="2:7" ht="12.5" x14ac:dyDescent="0.25">
      <c r="B740" s="16"/>
      <c r="C740" s="9"/>
      <c r="D740" s="9"/>
      <c r="E740" s="16"/>
      <c r="F740" s="16"/>
      <c r="G740" s="9"/>
    </row>
    <row r="741" spans="2:7" ht="12.5" x14ac:dyDescent="0.25">
      <c r="B741" s="16"/>
      <c r="C741" s="9"/>
      <c r="D741" s="9"/>
      <c r="E741" s="16"/>
      <c r="F741" s="16"/>
      <c r="G741" s="9"/>
    </row>
    <row r="742" spans="2:7" ht="12.5" x14ac:dyDescent="0.25">
      <c r="B742" s="16"/>
      <c r="C742" s="9"/>
      <c r="D742" s="9"/>
      <c r="E742" s="16"/>
      <c r="F742" s="16"/>
      <c r="G742" s="9"/>
    </row>
    <row r="743" spans="2:7" ht="12.5" x14ac:dyDescent="0.25">
      <c r="B743" s="16"/>
      <c r="C743" s="9"/>
      <c r="D743" s="9"/>
      <c r="E743" s="16"/>
      <c r="F743" s="16"/>
      <c r="G743" s="9"/>
    </row>
    <row r="744" spans="2:7" ht="12.5" x14ac:dyDescent="0.25">
      <c r="B744" s="16"/>
      <c r="C744" s="9"/>
      <c r="D744" s="9"/>
      <c r="E744" s="16"/>
      <c r="F744" s="16"/>
      <c r="G744" s="9"/>
    </row>
    <row r="745" spans="2:7" ht="12.5" x14ac:dyDescent="0.25">
      <c r="B745" s="16"/>
      <c r="C745" s="9"/>
      <c r="D745" s="9"/>
      <c r="E745" s="16"/>
      <c r="F745" s="16"/>
      <c r="G745" s="9"/>
    </row>
    <row r="746" spans="2:7" ht="12.5" x14ac:dyDescent="0.25">
      <c r="B746" s="16"/>
      <c r="C746" s="9"/>
      <c r="D746" s="9"/>
      <c r="E746" s="16"/>
      <c r="F746" s="16"/>
      <c r="G746" s="9"/>
    </row>
    <row r="747" spans="2:7" ht="12.5" x14ac:dyDescent="0.25">
      <c r="B747" s="16"/>
      <c r="C747" s="9"/>
      <c r="D747" s="9"/>
      <c r="E747" s="16"/>
      <c r="F747" s="16"/>
      <c r="G747" s="9"/>
    </row>
    <row r="748" spans="2:7" ht="12.5" x14ac:dyDescent="0.25">
      <c r="B748" s="16"/>
      <c r="C748" s="9"/>
      <c r="D748" s="9"/>
      <c r="E748" s="16"/>
      <c r="F748" s="16"/>
      <c r="G748" s="9"/>
    </row>
    <row r="749" spans="2:7" ht="12.5" x14ac:dyDescent="0.25">
      <c r="B749" s="16"/>
      <c r="C749" s="9"/>
      <c r="D749" s="9"/>
      <c r="E749" s="16"/>
      <c r="F749" s="16"/>
      <c r="G749" s="9"/>
    </row>
    <row r="750" spans="2:7" ht="12.5" x14ac:dyDescent="0.25">
      <c r="B750" s="16"/>
      <c r="C750" s="9"/>
      <c r="D750" s="9"/>
      <c r="E750" s="16"/>
      <c r="F750" s="16"/>
      <c r="G750" s="9"/>
    </row>
    <row r="751" spans="2:7" ht="12.5" x14ac:dyDescent="0.25">
      <c r="B751" s="16"/>
      <c r="C751" s="9"/>
      <c r="D751" s="9"/>
      <c r="E751" s="16"/>
      <c r="F751" s="16"/>
      <c r="G751" s="9"/>
    </row>
    <row r="752" spans="2:7" ht="12.5" x14ac:dyDescent="0.25">
      <c r="B752" s="16"/>
      <c r="C752" s="9"/>
      <c r="D752" s="9"/>
      <c r="E752" s="16"/>
      <c r="F752" s="16"/>
      <c r="G752" s="9"/>
    </row>
    <row r="753" spans="2:7" ht="12.5" x14ac:dyDescent="0.25">
      <c r="B753" s="16"/>
      <c r="C753" s="9"/>
      <c r="D753" s="9"/>
      <c r="E753" s="16"/>
      <c r="F753" s="16"/>
      <c r="G753" s="9"/>
    </row>
    <row r="754" spans="2:7" ht="12.5" x14ac:dyDescent="0.25">
      <c r="B754" s="16"/>
      <c r="C754" s="9"/>
      <c r="D754" s="9"/>
      <c r="E754" s="16"/>
      <c r="F754" s="16"/>
      <c r="G754" s="9"/>
    </row>
    <row r="755" spans="2:7" ht="12.5" x14ac:dyDescent="0.25">
      <c r="B755" s="16"/>
      <c r="C755" s="9"/>
      <c r="D755" s="9"/>
      <c r="E755" s="16"/>
      <c r="F755" s="16"/>
      <c r="G755" s="9"/>
    </row>
    <row r="756" spans="2:7" ht="12.5" x14ac:dyDescent="0.25">
      <c r="B756" s="16"/>
      <c r="C756" s="9"/>
      <c r="D756" s="9"/>
      <c r="E756" s="16"/>
      <c r="F756" s="16"/>
      <c r="G756" s="9"/>
    </row>
    <row r="757" spans="2:7" ht="12.5" x14ac:dyDescent="0.25">
      <c r="B757" s="16"/>
      <c r="C757" s="9"/>
      <c r="D757" s="9"/>
      <c r="E757" s="16"/>
      <c r="F757" s="16"/>
      <c r="G757" s="9"/>
    </row>
    <row r="758" spans="2:7" ht="12.5" x14ac:dyDescent="0.25">
      <c r="B758" s="16"/>
      <c r="C758" s="9"/>
      <c r="D758" s="9"/>
      <c r="E758" s="16"/>
      <c r="F758" s="16"/>
      <c r="G758" s="9"/>
    </row>
    <row r="759" spans="2:7" ht="12.5" x14ac:dyDescent="0.25">
      <c r="B759" s="16"/>
      <c r="C759" s="9"/>
      <c r="D759" s="9"/>
      <c r="E759" s="16"/>
      <c r="F759" s="16"/>
      <c r="G759" s="9"/>
    </row>
    <row r="760" spans="2:7" ht="12.5" x14ac:dyDescent="0.25">
      <c r="B760" s="16"/>
      <c r="C760" s="9"/>
      <c r="D760" s="9"/>
      <c r="E760" s="16"/>
      <c r="F760" s="16"/>
      <c r="G760" s="9"/>
    </row>
    <row r="761" spans="2:7" ht="12.5" x14ac:dyDescent="0.25">
      <c r="B761" s="16"/>
      <c r="C761" s="9"/>
      <c r="D761" s="9"/>
      <c r="E761" s="16"/>
      <c r="F761" s="16"/>
      <c r="G761" s="9"/>
    </row>
    <row r="762" spans="2:7" ht="12.5" x14ac:dyDescent="0.25">
      <c r="B762" s="16"/>
      <c r="C762" s="9"/>
      <c r="D762" s="9"/>
      <c r="E762" s="16"/>
      <c r="F762" s="16"/>
      <c r="G762" s="9"/>
    </row>
    <row r="763" spans="2:7" ht="12.5" x14ac:dyDescent="0.25">
      <c r="B763" s="16"/>
      <c r="C763" s="9"/>
      <c r="D763" s="9"/>
      <c r="E763" s="16"/>
      <c r="F763" s="16"/>
      <c r="G763" s="9"/>
    </row>
    <row r="764" spans="2:7" ht="12.5" x14ac:dyDescent="0.25">
      <c r="B764" s="16"/>
      <c r="C764" s="9"/>
      <c r="D764" s="9"/>
      <c r="E764" s="16"/>
      <c r="F764" s="16"/>
      <c r="G764" s="9"/>
    </row>
    <row r="765" spans="2:7" ht="12.5" x14ac:dyDescent="0.25">
      <c r="B765" s="16"/>
      <c r="C765" s="9"/>
      <c r="D765" s="9"/>
      <c r="E765" s="16"/>
      <c r="F765" s="16"/>
      <c r="G765" s="9"/>
    </row>
    <row r="766" spans="2:7" ht="12.5" x14ac:dyDescent="0.25">
      <c r="B766" s="16"/>
      <c r="C766" s="9"/>
      <c r="D766" s="9"/>
      <c r="E766" s="16"/>
      <c r="F766" s="16"/>
      <c r="G766" s="9"/>
    </row>
    <row r="767" spans="2:7" ht="12.5" x14ac:dyDescent="0.25">
      <c r="B767" s="16"/>
      <c r="C767" s="9"/>
      <c r="D767" s="9"/>
      <c r="E767" s="16"/>
      <c r="F767" s="16"/>
      <c r="G767" s="9"/>
    </row>
    <row r="768" spans="2:7" ht="12.5" x14ac:dyDescent="0.25">
      <c r="B768" s="16"/>
      <c r="C768" s="9"/>
      <c r="D768" s="9"/>
      <c r="E768" s="16"/>
      <c r="F768" s="16"/>
      <c r="G768" s="9"/>
    </row>
    <row r="769" spans="2:7" ht="12.5" x14ac:dyDescent="0.25">
      <c r="B769" s="16"/>
      <c r="C769" s="9"/>
      <c r="D769" s="9"/>
      <c r="E769" s="16"/>
      <c r="F769" s="16"/>
      <c r="G769" s="9"/>
    </row>
    <row r="770" spans="2:7" ht="12.5" x14ac:dyDescent="0.25">
      <c r="B770" s="16"/>
      <c r="C770" s="9"/>
      <c r="D770" s="9"/>
      <c r="E770" s="16"/>
      <c r="F770" s="16"/>
      <c r="G770" s="9"/>
    </row>
    <row r="771" spans="2:7" ht="12.5" x14ac:dyDescent="0.25">
      <c r="B771" s="16"/>
      <c r="C771" s="9"/>
      <c r="D771" s="9"/>
      <c r="E771" s="16"/>
      <c r="F771" s="16"/>
      <c r="G771" s="9"/>
    </row>
    <row r="772" spans="2:7" ht="12.5" x14ac:dyDescent="0.25">
      <c r="B772" s="16"/>
      <c r="C772" s="9"/>
      <c r="D772" s="9"/>
      <c r="E772" s="16"/>
      <c r="F772" s="16"/>
      <c r="G772" s="9"/>
    </row>
    <row r="773" spans="2:7" ht="12.5" x14ac:dyDescent="0.25">
      <c r="B773" s="16"/>
      <c r="C773" s="9"/>
      <c r="D773" s="9"/>
      <c r="E773" s="16"/>
      <c r="F773" s="16"/>
      <c r="G773" s="9"/>
    </row>
    <row r="774" spans="2:7" ht="12.5" x14ac:dyDescent="0.25">
      <c r="B774" s="16"/>
      <c r="C774" s="9"/>
      <c r="D774" s="9"/>
      <c r="E774" s="16"/>
      <c r="F774" s="16"/>
      <c r="G774" s="9"/>
    </row>
    <row r="775" spans="2:7" ht="12.5" x14ac:dyDescent="0.25">
      <c r="B775" s="16"/>
      <c r="C775" s="9"/>
      <c r="D775" s="9"/>
      <c r="E775" s="16"/>
      <c r="F775" s="16"/>
      <c r="G775" s="9"/>
    </row>
    <row r="776" spans="2:7" ht="12.5" x14ac:dyDescent="0.25">
      <c r="B776" s="16"/>
      <c r="C776" s="9"/>
      <c r="D776" s="9"/>
      <c r="E776" s="16"/>
      <c r="F776" s="16"/>
      <c r="G776" s="9"/>
    </row>
    <row r="777" spans="2:7" ht="12.5" x14ac:dyDescent="0.25">
      <c r="B777" s="16"/>
      <c r="C777" s="9"/>
      <c r="D777" s="9"/>
      <c r="E777" s="16"/>
      <c r="F777" s="16"/>
      <c r="G777" s="9"/>
    </row>
    <row r="778" spans="2:7" ht="12.5" x14ac:dyDescent="0.25">
      <c r="B778" s="16"/>
      <c r="C778" s="9"/>
      <c r="D778" s="9"/>
      <c r="E778" s="16"/>
      <c r="F778" s="16"/>
      <c r="G778" s="9"/>
    </row>
    <row r="779" spans="2:7" ht="12.5" x14ac:dyDescent="0.25">
      <c r="B779" s="16"/>
      <c r="C779" s="9"/>
      <c r="D779" s="9"/>
      <c r="E779" s="16"/>
      <c r="F779" s="16"/>
      <c r="G779" s="9"/>
    </row>
    <row r="780" spans="2:7" ht="12.5" x14ac:dyDescent="0.25">
      <c r="B780" s="16"/>
      <c r="C780" s="9"/>
      <c r="D780" s="9"/>
      <c r="E780" s="16"/>
      <c r="F780" s="16"/>
      <c r="G780" s="9"/>
    </row>
    <row r="781" spans="2:7" ht="12.5" x14ac:dyDescent="0.25">
      <c r="B781" s="16"/>
      <c r="C781" s="9"/>
      <c r="D781" s="9"/>
      <c r="E781" s="16"/>
      <c r="F781" s="16"/>
      <c r="G781" s="9"/>
    </row>
    <row r="782" spans="2:7" ht="12.5" x14ac:dyDescent="0.25">
      <c r="B782" s="16"/>
      <c r="C782" s="9"/>
      <c r="D782" s="9"/>
      <c r="E782" s="16"/>
      <c r="F782" s="16"/>
      <c r="G782" s="9"/>
    </row>
    <row r="783" spans="2:7" ht="12.5" x14ac:dyDescent="0.25">
      <c r="B783" s="16"/>
      <c r="C783" s="9"/>
      <c r="D783" s="9"/>
      <c r="E783" s="16"/>
      <c r="F783" s="16"/>
      <c r="G783" s="9"/>
    </row>
    <row r="784" spans="2:7" ht="12.5" x14ac:dyDescent="0.25">
      <c r="B784" s="16"/>
      <c r="C784" s="9"/>
      <c r="D784" s="9"/>
      <c r="E784" s="16"/>
      <c r="F784" s="16"/>
      <c r="G784" s="9"/>
    </row>
    <row r="785" spans="2:7" ht="12.5" x14ac:dyDescent="0.25">
      <c r="B785" s="16"/>
      <c r="C785" s="9"/>
      <c r="D785" s="9"/>
      <c r="E785" s="16"/>
      <c r="F785" s="16"/>
      <c r="G785" s="9"/>
    </row>
    <row r="786" spans="2:7" ht="12.5" x14ac:dyDescent="0.25">
      <c r="B786" s="16"/>
      <c r="C786" s="9"/>
      <c r="D786" s="9"/>
      <c r="E786" s="16"/>
      <c r="F786" s="16"/>
      <c r="G786" s="9"/>
    </row>
    <row r="787" spans="2:7" ht="12.5" x14ac:dyDescent="0.25">
      <c r="B787" s="16"/>
      <c r="C787" s="9"/>
      <c r="D787" s="9"/>
      <c r="E787" s="16"/>
      <c r="F787" s="16"/>
      <c r="G787" s="9"/>
    </row>
    <row r="788" spans="2:7" ht="12.5" x14ac:dyDescent="0.25">
      <c r="B788" s="16"/>
      <c r="C788" s="9"/>
      <c r="D788" s="9"/>
      <c r="E788" s="16"/>
      <c r="F788" s="16"/>
      <c r="G788" s="9"/>
    </row>
    <row r="789" spans="2:7" ht="12.5" x14ac:dyDescent="0.25">
      <c r="B789" s="16"/>
      <c r="C789" s="9"/>
      <c r="D789" s="9"/>
      <c r="E789" s="16"/>
      <c r="F789" s="16"/>
      <c r="G789" s="9"/>
    </row>
    <row r="790" spans="2:7" ht="12.5" x14ac:dyDescent="0.25">
      <c r="B790" s="16"/>
      <c r="C790" s="9"/>
      <c r="D790" s="9"/>
      <c r="E790" s="16"/>
      <c r="F790" s="16"/>
      <c r="G790" s="9"/>
    </row>
    <row r="791" spans="2:7" ht="12.5" x14ac:dyDescent="0.25">
      <c r="B791" s="16"/>
      <c r="C791" s="9"/>
      <c r="D791" s="9"/>
      <c r="E791" s="16"/>
      <c r="F791" s="16"/>
      <c r="G791" s="9"/>
    </row>
    <row r="792" spans="2:7" ht="12.5" x14ac:dyDescent="0.25">
      <c r="B792" s="16"/>
      <c r="C792" s="9"/>
      <c r="D792" s="9"/>
      <c r="E792" s="16"/>
      <c r="F792" s="16"/>
      <c r="G792" s="9"/>
    </row>
    <row r="793" spans="2:7" ht="12.5" x14ac:dyDescent="0.25">
      <c r="B793" s="16"/>
      <c r="C793" s="9"/>
      <c r="D793" s="9"/>
      <c r="E793" s="16"/>
      <c r="F793" s="16"/>
      <c r="G793" s="9"/>
    </row>
    <row r="794" spans="2:7" ht="12.5" x14ac:dyDescent="0.25">
      <c r="B794" s="16"/>
      <c r="C794" s="9"/>
      <c r="D794" s="9"/>
      <c r="E794" s="16"/>
      <c r="F794" s="16"/>
      <c r="G794" s="9"/>
    </row>
    <row r="795" spans="2:7" ht="12.5" x14ac:dyDescent="0.25">
      <c r="B795" s="16"/>
      <c r="C795" s="9"/>
      <c r="D795" s="9"/>
      <c r="E795" s="16"/>
      <c r="F795" s="16"/>
      <c r="G795" s="9"/>
    </row>
    <row r="796" spans="2:7" ht="12.5" x14ac:dyDescent="0.25">
      <c r="B796" s="16"/>
      <c r="C796" s="9"/>
      <c r="D796" s="9"/>
      <c r="E796" s="16"/>
      <c r="F796" s="16"/>
      <c r="G796" s="9"/>
    </row>
    <row r="797" spans="2:7" ht="12.5" x14ac:dyDescent="0.25">
      <c r="B797" s="16"/>
      <c r="C797" s="9"/>
      <c r="D797" s="9"/>
      <c r="E797" s="16"/>
      <c r="F797" s="16"/>
      <c r="G797" s="9"/>
    </row>
    <row r="798" spans="2:7" ht="12.5" x14ac:dyDescent="0.25">
      <c r="B798" s="16"/>
      <c r="C798" s="9"/>
      <c r="D798" s="9"/>
      <c r="E798" s="16"/>
      <c r="F798" s="16"/>
      <c r="G798" s="9"/>
    </row>
    <row r="799" spans="2:7" ht="12.5" x14ac:dyDescent="0.25">
      <c r="B799" s="16"/>
      <c r="C799" s="9"/>
      <c r="D799" s="9"/>
      <c r="E799" s="16"/>
      <c r="F799" s="16"/>
      <c r="G799" s="9"/>
    </row>
    <row r="800" spans="2:7" ht="12.5" x14ac:dyDescent="0.25">
      <c r="B800" s="16"/>
      <c r="C800" s="9"/>
      <c r="D800" s="9"/>
      <c r="E800" s="16"/>
      <c r="F800" s="16"/>
      <c r="G800" s="9"/>
    </row>
    <row r="801" spans="2:7" ht="12.5" x14ac:dyDescent="0.25">
      <c r="B801" s="16"/>
      <c r="C801" s="9"/>
      <c r="D801" s="9"/>
      <c r="E801" s="16"/>
      <c r="F801" s="16"/>
      <c r="G801" s="9"/>
    </row>
    <row r="802" spans="2:7" ht="12.5" x14ac:dyDescent="0.25">
      <c r="B802" s="16"/>
      <c r="C802" s="9"/>
      <c r="D802" s="9"/>
      <c r="E802" s="16"/>
      <c r="F802" s="16"/>
      <c r="G802" s="9"/>
    </row>
    <row r="803" spans="2:7" ht="12.5" x14ac:dyDescent="0.25">
      <c r="B803" s="16"/>
      <c r="C803" s="9"/>
      <c r="D803" s="9"/>
      <c r="E803" s="16"/>
      <c r="F803" s="16"/>
      <c r="G803" s="9"/>
    </row>
    <row r="804" spans="2:7" ht="12.5" x14ac:dyDescent="0.25">
      <c r="B804" s="16"/>
      <c r="C804" s="9"/>
      <c r="D804" s="9"/>
      <c r="E804" s="16"/>
      <c r="F804" s="16"/>
      <c r="G804" s="9"/>
    </row>
    <row r="805" spans="2:7" ht="12.5" x14ac:dyDescent="0.25">
      <c r="B805" s="16"/>
      <c r="C805" s="9"/>
      <c r="D805" s="9"/>
      <c r="E805" s="16"/>
      <c r="F805" s="16"/>
      <c r="G805" s="9"/>
    </row>
    <row r="806" spans="2:7" ht="12.5" x14ac:dyDescent="0.25">
      <c r="B806" s="16"/>
      <c r="C806" s="9"/>
      <c r="D806" s="9"/>
      <c r="E806" s="16"/>
      <c r="F806" s="16"/>
      <c r="G806" s="9"/>
    </row>
    <row r="807" spans="2:7" ht="12.5" x14ac:dyDescent="0.25">
      <c r="B807" s="16"/>
      <c r="C807" s="9"/>
      <c r="D807" s="9"/>
      <c r="E807" s="16"/>
      <c r="F807" s="16"/>
      <c r="G807" s="9"/>
    </row>
    <row r="808" spans="2:7" ht="12.5" x14ac:dyDescent="0.25">
      <c r="B808" s="16"/>
      <c r="C808" s="9"/>
      <c r="D808" s="9"/>
      <c r="E808" s="16"/>
      <c r="F808" s="16"/>
      <c r="G808" s="9"/>
    </row>
    <row r="809" spans="2:7" ht="12.5" x14ac:dyDescent="0.25">
      <c r="B809" s="16"/>
      <c r="C809" s="9"/>
      <c r="D809" s="9"/>
      <c r="E809" s="16"/>
      <c r="F809" s="16"/>
      <c r="G809" s="9"/>
    </row>
    <row r="810" spans="2:7" ht="12.5" x14ac:dyDescent="0.25">
      <c r="B810" s="16"/>
      <c r="C810" s="9"/>
      <c r="D810" s="9"/>
      <c r="E810" s="16"/>
      <c r="F810" s="16"/>
      <c r="G810" s="9"/>
    </row>
    <row r="811" spans="2:7" ht="12.5" x14ac:dyDescent="0.25">
      <c r="B811" s="16"/>
      <c r="C811" s="9"/>
      <c r="D811" s="9"/>
      <c r="E811" s="16"/>
      <c r="F811" s="16"/>
      <c r="G811" s="9"/>
    </row>
    <row r="812" spans="2:7" ht="12.5" x14ac:dyDescent="0.25">
      <c r="B812" s="16"/>
      <c r="C812" s="9"/>
      <c r="D812" s="9"/>
      <c r="E812" s="16"/>
      <c r="F812" s="16"/>
      <c r="G812" s="9"/>
    </row>
    <row r="813" spans="2:7" ht="12.5" x14ac:dyDescent="0.25">
      <c r="B813" s="16"/>
      <c r="C813" s="9"/>
      <c r="D813" s="9"/>
      <c r="E813" s="16"/>
      <c r="F813" s="16"/>
      <c r="G813" s="9"/>
    </row>
    <row r="814" spans="2:7" ht="12.5" x14ac:dyDescent="0.25">
      <c r="B814" s="16"/>
      <c r="C814" s="9"/>
      <c r="D814" s="9"/>
      <c r="E814" s="16"/>
      <c r="F814" s="16"/>
      <c r="G814" s="9"/>
    </row>
    <row r="815" spans="2:7" ht="12.5" x14ac:dyDescent="0.25">
      <c r="B815" s="16"/>
      <c r="C815" s="9"/>
      <c r="D815" s="9"/>
      <c r="E815" s="16"/>
      <c r="F815" s="16"/>
      <c r="G815" s="9"/>
    </row>
    <row r="816" spans="2:7" ht="12.5" x14ac:dyDescent="0.25">
      <c r="B816" s="16"/>
      <c r="C816" s="9"/>
      <c r="D816" s="9"/>
      <c r="E816" s="16"/>
      <c r="F816" s="16"/>
      <c r="G816" s="9"/>
    </row>
    <row r="817" spans="2:7" ht="12.5" x14ac:dyDescent="0.25">
      <c r="B817" s="16"/>
      <c r="C817" s="9"/>
      <c r="D817" s="9"/>
      <c r="E817" s="16"/>
      <c r="F817" s="16"/>
      <c r="G817" s="9"/>
    </row>
    <row r="818" spans="2:7" ht="12.5" x14ac:dyDescent="0.25">
      <c r="B818" s="16"/>
      <c r="C818" s="9"/>
      <c r="D818" s="9"/>
      <c r="E818" s="16"/>
      <c r="F818" s="16"/>
      <c r="G818" s="9"/>
    </row>
    <row r="819" spans="2:7" ht="12.5" x14ac:dyDescent="0.25">
      <c r="B819" s="16"/>
      <c r="C819" s="9"/>
      <c r="D819" s="9"/>
      <c r="E819" s="16"/>
      <c r="F819" s="16"/>
      <c r="G819" s="9"/>
    </row>
    <row r="820" spans="2:7" ht="12.5" x14ac:dyDescent="0.25">
      <c r="B820" s="16"/>
      <c r="C820" s="9"/>
      <c r="D820" s="9"/>
      <c r="E820" s="16"/>
      <c r="F820" s="16"/>
      <c r="G820" s="9"/>
    </row>
    <row r="821" spans="2:7" ht="12.5" x14ac:dyDescent="0.25">
      <c r="B821" s="16"/>
      <c r="C821" s="9"/>
      <c r="D821" s="9"/>
      <c r="E821" s="16"/>
      <c r="F821" s="16"/>
      <c r="G821" s="9"/>
    </row>
    <row r="822" spans="2:7" ht="12.5" x14ac:dyDescent="0.25">
      <c r="B822" s="16"/>
      <c r="C822" s="9"/>
      <c r="D822" s="9"/>
      <c r="E822" s="16"/>
      <c r="F822" s="16"/>
      <c r="G822" s="9"/>
    </row>
    <row r="823" spans="2:7" ht="12.5" x14ac:dyDescent="0.25">
      <c r="B823" s="16"/>
      <c r="C823" s="9"/>
      <c r="D823" s="9"/>
      <c r="E823" s="16"/>
      <c r="F823" s="16"/>
      <c r="G823" s="9"/>
    </row>
    <row r="824" spans="2:7" ht="12.5" x14ac:dyDescent="0.25">
      <c r="B824" s="16"/>
      <c r="C824" s="9"/>
      <c r="D824" s="9"/>
      <c r="E824" s="16"/>
      <c r="F824" s="16"/>
      <c r="G824" s="9"/>
    </row>
    <row r="825" spans="2:7" ht="12.5" x14ac:dyDescent="0.25">
      <c r="B825" s="16"/>
      <c r="C825" s="9"/>
      <c r="D825" s="9"/>
      <c r="E825" s="16"/>
      <c r="F825" s="16"/>
      <c r="G825" s="9"/>
    </row>
    <row r="826" spans="2:7" ht="12.5" x14ac:dyDescent="0.25">
      <c r="B826" s="16"/>
      <c r="C826" s="9"/>
      <c r="D826" s="9"/>
      <c r="E826" s="16"/>
      <c r="F826" s="16"/>
      <c r="G826" s="9"/>
    </row>
    <row r="827" spans="2:7" ht="12.5" x14ac:dyDescent="0.25">
      <c r="B827" s="16"/>
      <c r="C827" s="9"/>
      <c r="D827" s="9"/>
      <c r="E827" s="16"/>
      <c r="F827" s="16"/>
      <c r="G827" s="9"/>
    </row>
    <row r="828" spans="2:7" ht="12.5" x14ac:dyDescent="0.25">
      <c r="B828" s="16"/>
      <c r="C828" s="9"/>
      <c r="D828" s="9"/>
      <c r="E828" s="16"/>
      <c r="F828" s="16"/>
      <c r="G828" s="9"/>
    </row>
    <row r="829" spans="2:7" ht="12.5" x14ac:dyDescent="0.25">
      <c r="B829" s="16"/>
      <c r="C829" s="9"/>
      <c r="D829" s="9"/>
      <c r="E829" s="16"/>
      <c r="F829" s="16"/>
      <c r="G829" s="9"/>
    </row>
    <row r="830" spans="2:7" ht="12.5" x14ac:dyDescent="0.25">
      <c r="B830" s="16"/>
      <c r="C830" s="9"/>
      <c r="D830" s="9"/>
      <c r="E830" s="16"/>
      <c r="F830" s="16"/>
      <c r="G830" s="9"/>
    </row>
    <row r="831" spans="2:7" ht="12.5" x14ac:dyDescent="0.25">
      <c r="B831" s="16"/>
      <c r="C831" s="9"/>
      <c r="D831" s="9"/>
      <c r="E831" s="16"/>
      <c r="F831" s="16"/>
      <c r="G831" s="9"/>
    </row>
    <row r="832" spans="2:7" ht="12.5" x14ac:dyDescent="0.25">
      <c r="B832" s="16"/>
      <c r="C832" s="9"/>
      <c r="D832" s="9"/>
      <c r="E832" s="16"/>
      <c r="F832" s="16"/>
      <c r="G832" s="9"/>
    </row>
    <row r="833" spans="2:7" ht="12.5" x14ac:dyDescent="0.25">
      <c r="B833" s="16"/>
      <c r="C833" s="9"/>
      <c r="D833" s="9"/>
      <c r="E833" s="16"/>
      <c r="F833" s="16"/>
      <c r="G833" s="9"/>
    </row>
    <row r="834" spans="2:7" ht="12.5" x14ac:dyDescent="0.25">
      <c r="B834" s="16"/>
      <c r="C834" s="9"/>
      <c r="D834" s="9"/>
      <c r="E834" s="16"/>
      <c r="F834" s="16"/>
      <c r="G834" s="9"/>
    </row>
    <row r="835" spans="2:7" ht="12.5" x14ac:dyDescent="0.25">
      <c r="B835" s="16"/>
      <c r="C835" s="9"/>
      <c r="D835" s="9"/>
      <c r="E835" s="16"/>
      <c r="F835" s="16"/>
      <c r="G835" s="9"/>
    </row>
    <row r="836" spans="2:7" ht="12.5" x14ac:dyDescent="0.25">
      <c r="B836" s="16"/>
      <c r="C836" s="9"/>
      <c r="D836" s="9"/>
      <c r="E836" s="16"/>
      <c r="F836" s="16"/>
      <c r="G836" s="9"/>
    </row>
    <row r="837" spans="2:7" ht="12.5" x14ac:dyDescent="0.25">
      <c r="B837" s="16"/>
      <c r="C837" s="9"/>
      <c r="D837" s="9"/>
      <c r="E837" s="16"/>
      <c r="F837" s="16"/>
      <c r="G837" s="9"/>
    </row>
    <row r="838" spans="2:7" ht="12.5" x14ac:dyDescent="0.25">
      <c r="B838" s="16"/>
      <c r="C838" s="9"/>
      <c r="D838" s="9"/>
      <c r="E838" s="16"/>
      <c r="F838" s="16"/>
      <c r="G838" s="9"/>
    </row>
    <row r="839" spans="2:7" ht="12.5" x14ac:dyDescent="0.25">
      <c r="B839" s="16"/>
      <c r="C839" s="9"/>
      <c r="D839" s="9"/>
      <c r="E839" s="16"/>
      <c r="F839" s="16"/>
      <c r="G839" s="9"/>
    </row>
    <row r="840" spans="2:7" ht="12.5" x14ac:dyDescent="0.25">
      <c r="B840" s="16"/>
      <c r="C840" s="9"/>
      <c r="D840" s="9"/>
      <c r="E840" s="16"/>
      <c r="F840" s="16"/>
      <c r="G840" s="9"/>
    </row>
    <row r="841" spans="2:7" ht="12.5" x14ac:dyDescent="0.25">
      <c r="B841" s="16"/>
      <c r="C841" s="9"/>
      <c r="D841" s="9"/>
      <c r="E841" s="16"/>
      <c r="F841" s="16"/>
      <c r="G841" s="9"/>
    </row>
    <row r="842" spans="2:7" ht="12.5" x14ac:dyDescent="0.25">
      <c r="B842" s="16"/>
      <c r="C842" s="9"/>
      <c r="D842" s="9"/>
      <c r="E842" s="16"/>
      <c r="F842" s="16"/>
      <c r="G842" s="9"/>
    </row>
    <row r="843" spans="2:7" ht="12.5" x14ac:dyDescent="0.25">
      <c r="B843" s="16"/>
      <c r="C843" s="9"/>
      <c r="D843" s="9"/>
      <c r="E843" s="16"/>
      <c r="F843" s="16"/>
      <c r="G843" s="9"/>
    </row>
    <row r="844" spans="2:7" ht="12.5" x14ac:dyDescent="0.25">
      <c r="B844" s="16"/>
      <c r="C844" s="9"/>
      <c r="D844" s="9"/>
      <c r="E844" s="16"/>
      <c r="F844" s="16"/>
      <c r="G844" s="9"/>
    </row>
    <row r="845" spans="2:7" ht="12.5" x14ac:dyDescent="0.25">
      <c r="B845" s="16"/>
      <c r="C845" s="9"/>
      <c r="D845" s="9"/>
      <c r="E845" s="16"/>
      <c r="F845" s="16"/>
      <c r="G845" s="9"/>
    </row>
    <row r="846" spans="2:7" ht="12.5" x14ac:dyDescent="0.25">
      <c r="B846" s="16"/>
      <c r="C846" s="9"/>
      <c r="D846" s="9"/>
      <c r="E846" s="16"/>
      <c r="F846" s="16"/>
      <c r="G846" s="9"/>
    </row>
    <row r="847" spans="2:7" ht="12.5" x14ac:dyDescent="0.25">
      <c r="B847" s="16"/>
      <c r="C847" s="9"/>
      <c r="D847" s="9"/>
      <c r="E847" s="16"/>
      <c r="F847" s="16"/>
      <c r="G847" s="9"/>
    </row>
    <row r="848" spans="2:7" ht="12.5" x14ac:dyDescent="0.25">
      <c r="B848" s="16"/>
      <c r="C848" s="9"/>
      <c r="D848" s="9"/>
      <c r="E848" s="16"/>
      <c r="F848" s="16"/>
      <c r="G848" s="9"/>
    </row>
    <row r="849" spans="2:7" ht="12.5" x14ac:dyDescent="0.25">
      <c r="B849" s="16"/>
      <c r="C849" s="9"/>
      <c r="D849" s="9"/>
      <c r="E849" s="16"/>
      <c r="F849" s="16"/>
      <c r="G849" s="9"/>
    </row>
    <row r="850" spans="2:7" ht="12.5" x14ac:dyDescent="0.25">
      <c r="B850" s="16"/>
      <c r="C850" s="9"/>
      <c r="D850" s="9"/>
      <c r="E850" s="16"/>
      <c r="F850" s="16"/>
      <c r="G850" s="9"/>
    </row>
    <row r="851" spans="2:7" ht="12.5" x14ac:dyDescent="0.25">
      <c r="B851" s="16"/>
      <c r="C851" s="9"/>
      <c r="D851" s="9"/>
      <c r="E851" s="16"/>
      <c r="F851" s="16"/>
      <c r="G851" s="9"/>
    </row>
    <row r="852" spans="2:7" ht="12.5" x14ac:dyDescent="0.25">
      <c r="B852" s="16"/>
      <c r="C852" s="9"/>
      <c r="D852" s="9"/>
      <c r="E852" s="16"/>
      <c r="F852" s="16"/>
      <c r="G852" s="9"/>
    </row>
    <row r="853" spans="2:7" ht="12.5" x14ac:dyDescent="0.25">
      <c r="B853" s="16"/>
      <c r="C853" s="9"/>
      <c r="D853" s="9"/>
      <c r="E853" s="16"/>
      <c r="F853" s="16"/>
      <c r="G853" s="9"/>
    </row>
    <row r="854" spans="2:7" ht="12.5" x14ac:dyDescent="0.25">
      <c r="B854" s="16"/>
      <c r="C854" s="9"/>
      <c r="D854" s="9"/>
      <c r="E854" s="16"/>
      <c r="F854" s="16"/>
      <c r="G854" s="9"/>
    </row>
    <row r="855" spans="2:7" ht="12.5" x14ac:dyDescent="0.25">
      <c r="B855" s="16"/>
      <c r="C855" s="9"/>
      <c r="D855" s="9"/>
      <c r="E855" s="16"/>
      <c r="F855" s="16"/>
      <c r="G855" s="9"/>
    </row>
    <row r="856" spans="2:7" ht="12.5" x14ac:dyDescent="0.25">
      <c r="B856" s="16"/>
      <c r="C856" s="9"/>
      <c r="D856" s="9"/>
      <c r="E856" s="16"/>
      <c r="F856" s="16"/>
      <c r="G856" s="9"/>
    </row>
    <row r="857" spans="2:7" ht="12.5" x14ac:dyDescent="0.25">
      <c r="B857" s="16"/>
      <c r="C857" s="9"/>
      <c r="D857" s="9"/>
      <c r="E857" s="16"/>
      <c r="F857" s="16"/>
      <c r="G857" s="9"/>
    </row>
    <row r="858" spans="2:7" ht="12.5" x14ac:dyDescent="0.25">
      <c r="B858" s="16"/>
      <c r="C858" s="9"/>
      <c r="D858" s="9"/>
      <c r="E858" s="16"/>
      <c r="F858" s="16"/>
      <c r="G858" s="9"/>
    </row>
    <row r="859" spans="2:7" ht="12.5" x14ac:dyDescent="0.25">
      <c r="B859" s="16"/>
      <c r="C859" s="9"/>
      <c r="D859" s="9"/>
      <c r="E859" s="16"/>
      <c r="F859" s="16"/>
      <c r="G859" s="9"/>
    </row>
    <row r="860" spans="2:7" ht="12.5" x14ac:dyDescent="0.25">
      <c r="B860" s="16"/>
      <c r="C860" s="9"/>
      <c r="D860" s="9"/>
      <c r="E860" s="16"/>
      <c r="F860" s="16"/>
      <c r="G860" s="9"/>
    </row>
    <row r="861" spans="2:7" ht="12.5" x14ac:dyDescent="0.25">
      <c r="B861" s="16"/>
      <c r="C861" s="9"/>
      <c r="D861" s="9"/>
      <c r="E861" s="16"/>
      <c r="F861" s="16"/>
      <c r="G861" s="9"/>
    </row>
    <row r="862" spans="2:7" ht="12.5" x14ac:dyDescent="0.25">
      <c r="B862" s="16"/>
      <c r="C862" s="9"/>
      <c r="D862" s="9"/>
      <c r="E862" s="16"/>
      <c r="F862" s="16"/>
      <c r="G862" s="9"/>
    </row>
    <row r="863" spans="2:7" ht="12.5" x14ac:dyDescent="0.25">
      <c r="B863" s="16"/>
      <c r="C863" s="9"/>
      <c r="D863" s="9"/>
      <c r="E863" s="16"/>
      <c r="F863" s="16"/>
      <c r="G863" s="9"/>
    </row>
    <row r="864" spans="2:7" ht="12.5" x14ac:dyDescent="0.25">
      <c r="B864" s="16"/>
      <c r="C864" s="9"/>
      <c r="D864" s="9"/>
      <c r="E864" s="16"/>
      <c r="F864" s="16"/>
      <c r="G864" s="9"/>
    </row>
    <row r="865" spans="2:7" ht="12.5" x14ac:dyDescent="0.25">
      <c r="B865" s="16"/>
      <c r="C865" s="9"/>
      <c r="D865" s="9"/>
      <c r="E865" s="16"/>
      <c r="F865" s="16"/>
      <c r="G865" s="9"/>
    </row>
    <row r="866" spans="2:7" ht="12.5" x14ac:dyDescent="0.25">
      <c r="B866" s="16"/>
      <c r="C866" s="9"/>
      <c r="D866" s="9"/>
      <c r="E866" s="16"/>
      <c r="F866" s="16"/>
      <c r="G866" s="9"/>
    </row>
    <row r="867" spans="2:7" ht="12.5" x14ac:dyDescent="0.25">
      <c r="B867" s="16"/>
      <c r="C867" s="9"/>
      <c r="D867" s="9"/>
      <c r="E867" s="16"/>
      <c r="F867" s="16"/>
      <c r="G867" s="9"/>
    </row>
    <row r="868" spans="2:7" ht="12.5" x14ac:dyDescent="0.25">
      <c r="B868" s="16"/>
      <c r="C868" s="9"/>
      <c r="D868" s="9"/>
      <c r="E868" s="16"/>
      <c r="F868" s="16"/>
      <c r="G868" s="9"/>
    </row>
    <row r="869" spans="2:7" ht="12.5" x14ac:dyDescent="0.25">
      <c r="B869" s="16"/>
      <c r="C869" s="9"/>
      <c r="D869" s="9"/>
      <c r="E869" s="16"/>
      <c r="F869" s="16"/>
      <c r="G869" s="9"/>
    </row>
    <row r="870" spans="2:7" ht="12.5" x14ac:dyDescent="0.25">
      <c r="B870" s="16"/>
      <c r="C870" s="9"/>
      <c r="D870" s="9"/>
      <c r="E870" s="16"/>
      <c r="F870" s="16"/>
      <c r="G870" s="9"/>
    </row>
    <row r="871" spans="2:7" ht="12.5" x14ac:dyDescent="0.25">
      <c r="B871" s="16"/>
      <c r="C871" s="9"/>
      <c r="D871" s="9"/>
      <c r="E871" s="16"/>
      <c r="F871" s="16"/>
      <c r="G871" s="9"/>
    </row>
    <row r="872" spans="2:7" ht="12.5" x14ac:dyDescent="0.25">
      <c r="B872" s="16"/>
      <c r="C872" s="9"/>
      <c r="D872" s="9"/>
      <c r="E872" s="16"/>
      <c r="F872" s="16"/>
      <c r="G872" s="9"/>
    </row>
    <row r="873" spans="2:7" ht="12.5" x14ac:dyDescent="0.25">
      <c r="B873" s="16"/>
      <c r="C873" s="9"/>
      <c r="D873" s="9"/>
      <c r="E873" s="16"/>
      <c r="F873" s="16"/>
      <c r="G873" s="9"/>
    </row>
    <row r="874" spans="2:7" ht="12.5" x14ac:dyDescent="0.25">
      <c r="B874" s="16"/>
      <c r="C874" s="9"/>
      <c r="D874" s="9"/>
      <c r="E874" s="16"/>
      <c r="F874" s="16"/>
      <c r="G874" s="9"/>
    </row>
    <row r="875" spans="2:7" ht="12.5" x14ac:dyDescent="0.25">
      <c r="B875" s="16"/>
      <c r="C875" s="9"/>
      <c r="D875" s="9"/>
      <c r="E875" s="16"/>
      <c r="F875" s="16"/>
      <c r="G875" s="9"/>
    </row>
    <row r="876" spans="2:7" ht="12.5" x14ac:dyDescent="0.25">
      <c r="B876" s="16"/>
      <c r="C876" s="9"/>
      <c r="D876" s="9"/>
      <c r="E876" s="16"/>
      <c r="F876" s="16"/>
      <c r="G876" s="9"/>
    </row>
    <row r="877" spans="2:7" ht="12.5" x14ac:dyDescent="0.25">
      <c r="B877" s="16"/>
      <c r="C877" s="9"/>
      <c r="D877" s="9"/>
      <c r="E877" s="16"/>
      <c r="F877" s="16"/>
      <c r="G877" s="9"/>
    </row>
    <row r="878" spans="2:7" ht="12.5" x14ac:dyDescent="0.25">
      <c r="B878" s="16"/>
      <c r="C878" s="9"/>
      <c r="D878" s="9"/>
      <c r="E878" s="16"/>
      <c r="F878" s="16"/>
      <c r="G878" s="9"/>
    </row>
    <row r="879" spans="2:7" ht="12.5" x14ac:dyDescent="0.25">
      <c r="B879" s="16"/>
      <c r="C879" s="9"/>
      <c r="D879" s="9"/>
      <c r="E879" s="16"/>
      <c r="F879" s="16"/>
      <c r="G879" s="9"/>
    </row>
    <row r="880" spans="2:7" ht="12.5" x14ac:dyDescent="0.25">
      <c r="B880" s="16"/>
      <c r="C880" s="9"/>
      <c r="D880" s="9"/>
      <c r="E880" s="16"/>
      <c r="F880" s="16"/>
      <c r="G880" s="9"/>
    </row>
    <row r="881" spans="2:7" ht="12.5" x14ac:dyDescent="0.25">
      <c r="B881" s="16"/>
      <c r="C881" s="9"/>
      <c r="D881" s="9"/>
      <c r="E881" s="16"/>
      <c r="F881" s="16"/>
      <c r="G881" s="9"/>
    </row>
    <row r="882" spans="2:7" ht="12.5" x14ac:dyDescent="0.25">
      <c r="B882" s="16"/>
      <c r="C882" s="9"/>
      <c r="D882" s="9"/>
      <c r="E882" s="16"/>
      <c r="F882" s="16"/>
      <c r="G882" s="9"/>
    </row>
    <row r="883" spans="2:7" ht="12.5" x14ac:dyDescent="0.25">
      <c r="B883" s="16"/>
      <c r="C883" s="9"/>
      <c r="D883" s="9"/>
      <c r="E883" s="16"/>
      <c r="F883" s="16"/>
      <c r="G883" s="9"/>
    </row>
    <row r="884" spans="2:7" ht="12.5" x14ac:dyDescent="0.25">
      <c r="B884" s="16"/>
      <c r="C884" s="9"/>
      <c r="D884" s="9"/>
      <c r="E884" s="16"/>
      <c r="F884" s="16"/>
      <c r="G884" s="9"/>
    </row>
    <row r="885" spans="2:7" ht="12.5" x14ac:dyDescent="0.25">
      <c r="B885" s="16"/>
      <c r="C885" s="9"/>
      <c r="D885" s="9"/>
      <c r="E885" s="16"/>
      <c r="F885" s="16"/>
      <c r="G885" s="9"/>
    </row>
    <row r="886" spans="2:7" ht="12.5" x14ac:dyDescent="0.25">
      <c r="B886" s="16"/>
      <c r="C886" s="9"/>
      <c r="D886" s="9"/>
      <c r="E886" s="16"/>
      <c r="F886" s="16"/>
      <c r="G886" s="9"/>
    </row>
    <row r="887" spans="2:7" ht="12.5" x14ac:dyDescent="0.25">
      <c r="B887" s="16"/>
      <c r="C887" s="9"/>
      <c r="D887" s="9"/>
      <c r="E887" s="16"/>
      <c r="F887" s="16"/>
      <c r="G887" s="9"/>
    </row>
    <row r="888" spans="2:7" ht="12.5" x14ac:dyDescent="0.25">
      <c r="B888" s="16"/>
      <c r="C888" s="9"/>
      <c r="D888" s="9"/>
      <c r="E888" s="16"/>
      <c r="F888" s="16"/>
      <c r="G888" s="9"/>
    </row>
    <row r="889" spans="2:7" ht="12.5" x14ac:dyDescent="0.25">
      <c r="B889" s="16"/>
      <c r="C889" s="9"/>
      <c r="D889" s="9"/>
      <c r="E889" s="16"/>
      <c r="F889" s="16"/>
      <c r="G889" s="9"/>
    </row>
    <row r="890" spans="2:7" ht="12.5" x14ac:dyDescent="0.25">
      <c r="B890" s="16"/>
      <c r="C890" s="9"/>
      <c r="D890" s="9"/>
      <c r="E890" s="16"/>
      <c r="F890" s="16"/>
      <c r="G890" s="9"/>
    </row>
    <row r="891" spans="2:7" ht="12.5" x14ac:dyDescent="0.25">
      <c r="B891" s="16"/>
      <c r="C891" s="9"/>
      <c r="D891" s="9"/>
      <c r="E891" s="16"/>
      <c r="F891" s="16"/>
      <c r="G891" s="9"/>
    </row>
    <row r="892" spans="2:7" ht="12.5" x14ac:dyDescent="0.25">
      <c r="B892" s="16"/>
      <c r="C892" s="9"/>
      <c r="D892" s="9"/>
      <c r="E892" s="16"/>
      <c r="F892" s="16"/>
      <c r="G892" s="9"/>
    </row>
    <row r="893" spans="2:7" ht="12.5" x14ac:dyDescent="0.25">
      <c r="B893" s="16"/>
      <c r="C893" s="9"/>
      <c r="D893" s="9"/>
      <c r="E893" s="16"/>
      <c r="F893" s="16"/>
      <c r="G893" s="9"/>
    </row>
    <row r="894" spans="2:7" ht="12.5" x14ac:dyDescent="0.25">
      <c r="B894" s="16"/>
      <c r="C894" s="9"/>
      <c r="D894" s="9"/>
      <c r="E894" s="16"/>
      <c r="F894" s="16"/>
      <c r="G894" s="9"/>
    </row>
    <row r="895" spans="2:7" ht="12.5" x14ac:dyDescent="0.25">
      <c r="B895" s="16"/>
      <c r="C895" s="9"/>
      <c r="D895" s="9"/>
      <c r="E895" s="16"/>
      <c r="F895" s="16"/>
      <c r="G895" s="9"/>
    </row>
    <row r="896" spans="2:7" ht="12.5" x14ac:dyDescent="0.25">
      <c r="B896" s="16"/>
      <c r="C896" s="9"/>
      <c r="D896" s="9"/>
      <c r="E896" s="16"/>
      <c r="F896" s="16"/>
      <c r="G896" s="9"/>
    </row>
    <row r="897" spans="2:7" ht="12.5" x14ac:dyDescent="0.25">
      <c r="B897" s="16"/>
      <c r="C897" s="9"/>
      <c r="D897" s="9"/>
      <c r="E897" s="16"/>
      <c r="F897" s="16"/>
      <c r="G897" s="9"/>
    </row>
    <row r="898" spans="2:7" ht="12.5" x14ac:dyDescent="0.25">
      <c r="B898" s="16"/>
      <c r="C898" s="9"/>
      <c r="D898" s="9"/>
      <c r="E898" s="16"/>
      <c r="F898" s="16"/>
      <c r="G898" s="9"/>
    </row>
    <row r="899" spans="2:7" ht="12.5" x14ac:dyDescent="0.25">
      <c r="B899" s="16"/>
      <c r="C899" s="9"/>
      <c r="D899" s="9"/>
      <c r="E899" s="16"/>
      <c r="F899" s="16"/>
      <c r="G899" s="9"/>
    </row>
    <row r="900" spans="2:7" ht="12.5" x14ac:dyDescent="0.25">
      <c r="B900" s="16"/>
      <c r="C900" s="9"/>
      <c r="D900" s="9"/>
      <c r="E900" s="16"/>
      <c r="F900" s="16"/>
      <c r="G900" s="9"/>
    </row>
    <row r="901" spans="2:7" ht="12.5" x14ac:dyDescent="0.25">
      <c r="B901" s="16"/>
      <c r="C901" s="9"/>
      <c r="D901" s="9"/>
      <c r="E901" s="16"/>
      <c r="F901" s="16"/>
      <c r="G901" s="9"/>
    </row>
    <row r="902" spans="2:7" ht="12.5" x14ac:dyDescent="0.25">
      <c r="B902" s="16"/>
      <c r="C902" s="9"/>
      <c r="D902" s="9"/>
      <c r="E902" s="16"/>
      <c r="F902" s="16"/>
      <c r="G902" s="9"/>
    </row>
    <row r="903" spans="2:7" ht="12.5" x14ac:dyDescent="0.25">
      <c r="B903" s="16"/>
      <c r="C903" s="9"/>
      <c r="D903" s="9"/>
      <c r="E903" s="16"/>
      <c r="F903" s="16"/>
      <c r="G903" s="9"/>
    </row>
    <row r="904" spans="2:7" ht="12.5" x14ac:dyDescent="0.25">
      <c r="B904" s="16"/>
      <c r="C904" s="9"/>
      <c r="D904" s="9"/>
      <c r="E904" s="16"/>
      <c r="F904" s="16"/>
      <c r="G904" s="9"/>
    </row>
    <row r="905" spans="2:7" ht="12.5" x14ac:dyDescent="0.25">
      <c r="B905" s="16"/>
      <c r="C905" s="9"/>
      <c r="D905" s="9"/>
      <c r="E905" s="16"/>
      <c r="F905" s="16"/>
      <c r="G905" s="9"/>
    </row>
    <row r="906" spans="2:7" ht="12.5" x14ac:dyDescent="0.25">
      <c r="B906" s="16"/>
      <c r="C906" s="9"/>
      <c r="D906" s="9"/>
      <c r="E906" s="16"/>
      <c r="F906" s="16"/>
      <c r="G906" s="9"/>
    </row>
    <row r="907" spans="2:7" ht="12.5" x14ac:dyDescent="0.25">
      <c r="B907" s="16"/>
      <c r="C907" s="9"/>
      <c r="D907" s="9"/>
      <c r="E907" s="16"/>
      <c r="F907" s="16"/>
      <c r="G907" s="9"/>
    </row>
    <row r="908" spans="2:7" ht="12.5" x14ac:dyDescent="0.25">
      <c r="B908" s="16"/>
      <c r="C908" s="9"/>
      <c r="D908" s="9"/>
      <c r="E908" s="16"/>
      <c r="F908" s="16"/>
      <c r="G908" s="9"/>
    </row>
    <row r="909" spans="2:7" ht="12.5" x14ac:dyDescent="0.25">
      <c r="B909" s="16"/>
      <c r="C909" s="9"/>
      <c r="D909" s="9"/>
      <c r="E909" s="16"/>
      <c r="F909" s="16"/>
      <c r="G909" s="9"/>
    </row>
    <row r="910" spans="2:7" ht="12.5" x14ac:dyDescent="0.25">
      <c r="B910" s="16"/>
      <c r="C910" s="9"/>
      <c r="D910" s="9"/>
      <c r="E910" s="16"/>
      <c r="F910" s="16"/>
      <c r="G910" s="9"/>
    </row>
    <row r="911" spans="2:7" ht="12.5" x14ac:dyDescent="0.25">
      <c r="B911" s="16"/>
      <c r="C911" s="9"/>
      <c r="D911" s="9"/>
      <c r="E911" s="16"/>
      <c r="F911" s="16"/>
      <c r="G911" s="9"/>
    </row>
    <row r="912" spans="2:7" ht="12.5" x14ac:dyDescent="0.25">
      <c r="B912" s="16"/>
      <c r="C912" s="9"/>
      <c r="D912" s="9"/>
      <c r="E912" s="16"/>
      <c r="F912" s="16"/>
      <c r="G912" s="9"/>
    </row>
    <row r="913" spans="2:7" ht="12.5" x14ac:dyDescent="0.25">
      <c r="B913" s="16"/>
      <c r="C913" s="9"/>
      <c r="D913" s="9"/>
      <c r="E913" s="16"/>
      <c r="F913" s="16"/>
      <c r="G913" s="9"/>
    </row>
    <row r="914" spans="2:7" ht="12.5" x14ac:dyDescent="0.25">
      <c r="B914" s="16"/>
      <c r="C914" s="9"/>
      <c r="D914" s="9"/>
      <c r="E914" s="16"/>
      <c r="F914" s="16"/>
      <c r="G914" s="9"/>
    </row>
    <row r="915" spans="2:7" ht="12.5" x14ac:dyDescent="0.25">
      <c r="B915" s="16"/>
      <c r="C915" s="9"/>
      <c r="D915" s="9"/>
      <c r="E915" s="16"/>
      <c r="F915" s="16"/>
      <c r="G915" s="9"/>
    </row>
    <row r="916" spans="2:7" ht="12.5" x14ac:dyDescent="0.25">
      <c r="B916" s="16"/>
      <c r="C916" s="9"/>
      <c r="D916" s="9"/>
      <c r="E916" s="16"/>
      <c r="F916" s="16"/>
      <c r="G916" s="9"/>
    </row>
    <row r="917" spans="2:7" ht="12.5" x14ac:dyDescent="0.25">
      <c r="B917" s="16"/>
      <c r="C917" s="9"/>
      <c r="D917" s="9"/>
      <c r="E917" s="16"/>
      <c r="F917" s="16"/>
      <c r="G917" s="9"/>
    </row>
    <row r="918" spans="2:7" ht="12.5" x14ac:dyDescent="0.25">
      <c r="B918" s="16"/>
      <c r="C918" s="9"/>
      <c r="D918" s="9"/>
      <c r="E918" s="16"/>
      <c r="F918" s="16"/>
      <c r="G918" s="9"/>
    </row>
    <row r="919" spans="2:7" ht="12.5" x14ac:dyDescent="0.25">
      <c r="B919" s="16"/>
      <c r="C919" s="9"/>
      <c r="D919" s="9"/>
      <c r="E919" s="16"/>
      <c r="F919" s="16"/>
      <c r="G919" s="9"/>
    </row>
    <row r="920" spans="2:7" ht="12.5" x14ac:dyDescent="0.25">
      <c r="B920" s="16"/>
      <c r="C920" s="9"/>
      <c r="D920" s="9"/>
      <c r="E920" s="16"/>
      <c r="F920" s="16"/>
      <c r="G920" s="9"/>
    </row>
    <row r="921" spans="2:7" ht="12.5" x14ac:dyDescent="0.25">
      <c r="B921" s="16"/>
      <c r="C921" s="9"/>
      <c r="D921" s="9"/>
      <c r="E921" s="16"/>
      <c r="F921" s="16"/>
      <c r="G921" s="9"/>
    </row>
    <row r="922" spans="2:7" ht="12.5" x14ac:dyDescent="0.25">
      <c r="B922" s="16"/>
      <c r="C922" s="9"/>
      <c r="D922" s="9"/>
      <c r="E922" s="16"/>
      <c r="F922" s="16"/>
      <c r="G922" s="9"/>
    </row>
    <row r="923" spans="2:7" ht="12.5" x14ac:dyDescent="0.25">
      <c r="B923" s="16"/>
      <c r="C923" s="9"/>
      <c r="D923" s="9"/>
      <c r="E923" s="16"/>
      <c r="F923" s="16"/>
      <c r="G923" s="9"/>
    </row>
    <row r="924" spans="2:7" ht="12.5" x14ac:dyDescent="0.25">
      <c r="B924" s="16"/>
      <c r="C924" s="9"/>
      <c r="D924" s="9"/>
      <c r="E924" s="16"/>
      <c r="F924" s="16"/>
      <c r="G924" s="9"/>
    </row>
    <row r="925" spans="2:7" ht="12.5" x14ac:dyDescent="0.25">
      <c r="B925" s="16"/>
      <c r="C925" s="9"/>
      <c r="D925" s="9"/>
      <c r="E925" s="16"/>
      <c r="F925" s="16"/>
      <c r="G925" s="9"/>
    </row>
    <row r="926" spans="2:7" ht="12.5" x14ac:dyDescent="0.25">
      <c r="B926" s="16"/>
      <c r="C926" s="9"/>
      <c r="D926" s="9"/>
      <c r="E926" s="16"/>
      <c r="F926" s="16"/>
      <c r="G926" s="9"/>
    </row>
    <row r="927" spans="2:7" ht="12.5" x14ac:dyDescent="0.25">
      <c r="B927" s="16"/>
      <c r="C927" s="9"/>
      <c r="D927" s="9"/>
      <c r="E927" s="16"/>
      <c r="F927" s="16"/>
      <c r="G927" s="9"/>
    </row>
    <row r="928" spans="2:7" ht="12.5" x14ac:dyDescent="0.25">
      <c r="B928" s="16"/>
      <c r="C928" s="9"/>
      <c r="D928" s="9"/>
      <c r="E928" s="16"/>
      <c r="F928" s="16"/>
      <c r="G928" s="9"/>
    </row>
    <row r="929" spans="2:7" ht="12.5" x14ac:dyDescent="0.25">
      <c r="B929" s="16"/>
      <c r="C929" s="9"/>
      <c r="D929" s="9"/>
      <c r="E929" s="16"/>
      <c r="F929" s="16"/>
      <c r="G929" s="9"/>
    </row>
    <row r="930" spans="2:7" ht="12.5" x14ac:dyDescent="0.25">
      <c r="B930" s="16"/>
      <c r="C930" s="9"/>
      <c r="D930" s="9"/>
      <c r="E930" s="16"/>
      <c r="F930" s="16"/>
      <c r="G930" s="9"/>
    </row>
    <row r="931" spans="2:7" ht="12.5" x14ac:dyDescent="0.25">
      <c r="B931" s="16"/>
      <c r="C931" s="9"/>
      <c r="D931" s="9"/>
      <c r="E931" s="16"/>
      <c r="F931" s="16"/>
      <c r="G931" s="9"/>
    </row>
    <row r="932" spans="2:7" ht="12.5" x14ac:dyDescent="0.25">
      <c r="B932" s="16"/>
      <c r="C932" s="9"/>
      <c r="D932" s="9"/>
      <c r="E932" s="16"/>
      <c r="F932" s="16"/>
      <c r="G932" s="9"/>
    </row>
    <row r="933" spans="2:7" ht="12.5" x14ac:dyDescent="0.25">
      <c r="B933" s="16"/>
      <c r="C933" s="9"/>
      <c r="D933" s="9"/>
      <c r="E933" s="16"/>
      <c r="F933" s="16"/>
      <c r="G933" s="9"/>
    </row>
    <row r="934" spans="2:7" ht="12.5" x14ac:dyDescent="0.25">
      <c r="B934" s="16"/>
      <c r="C934" s="9"/>
      <c r="D934" s="9"/>
      <c r="E934" s="16"/>
      <c r="F934" s="16"/>
      <c r="G934" s="9"/>
    </row>
    <row r="935" spans="2:7" ht="12.5" x14ac:dyDescent="0.25">
      <c r="B935" s="16"/>
      <c r="C935" s="9"/>
      <c r="D935" s="9"/>
      <c r="E935" s="16"/>
      <c r="F935" s="16"/>
      <c r="G935" s="9"/>
    </row>
    <row r="936" spans="2:7" ht="12.5" x14ac:dyDescent="0.25">
      <c r="B936" s="16"/>
      <c r="C936" s="9"/>
      <c r="D936" s="9"/>
      <c r="E936" s="16"/>
      <c r="F936" s="16"/>
      <c r="G936" s="9"/>
    </row>
    <row r="937" spans="2:7" ht="12.5" x14ac:dyDescent="0.25">
      <c r="B937" s="16"/>
      <c r="C937" s="9"/>
      <c r="D937" s="9"/>
      <c r="E937" s="16"/>
      <c r="F937" s="16"/>
      <c r="G937" s="9"/>
    </row>
    <row r="938" spans="2:7" ht="12.5" x14ac:dyDescent="0.25">
      <c r="B938" s="16"/>
      <c r="C938" s="9"/>
      <c r="D938" s="9"/>
      <c r="E938" s="16"/>
      <c r="F938" s="16"/>
      <c r="G938" s="9"/>
    </row>
    <row r="939" spans="2:7" ht="12.5" x14ac:dyDescent="0.25">
      <c r="B939" s="16"/>
      <c r="C939" s="9"/>
      <c r="D939" s="9"/>
      <c r="E939" s="16"/>
      <c r="F939" s="16"/>
      <c r="G939" s="9"/>
    </row>
    <row r="940" spans="2:7" ht="12.5" x14ac:dyDescent="0.25">
      <c r="B940" s="16"/>
      <c r="C940" s="9"/>
      <c r="D940" s="9"/>
      <c r="E940" s="16"/>
      <c r="F940" s="16"/>
      <c r="G940" s="9"/>
    </row>
    <row r="941" spans="2:7" ht="12.5" x14ac:dyDescent="0.25">
      <c r="B941" s="16"/>
      <c r="C941" s="9"/>
      <c r="D941" s="9"/>
      <c r="E941" s="16"/>
      <c r="F941" s="16"/>
      <c r="G941" s="9"/>
    </row>
    <row r="942" spans="2:7" ht="12.5" x14ac:dyDescent="0.25">
      <c r="B942" s="16"/>
      <c r="C942" s="9"/>
      <c r="D942" s="9"/>
      <c r="E942" s="16"/>
      <c r="F942" s="16"/>
      <c r="G942" s="9"/>
    </row>
    <row r="943" spans="2:7" ht="12.5" x14ac:dyDescent="0.25">
      <c r="B943" s="16"/>
      <c r="C943" s="9"/>
      <c r="D943" s="9"/>
      <c r="E943" s="16"/>
      <c r="F943" s="16"/>
      <c r="G943" s="9"/>
    </row>
    <row r="944" spans="2:7" ht="12.5" x14ac:dyDescent="0.25">
      <c r="B944" s="16"/>
      <c r="C944" s="9"/>
      <c r="D944" s="9"/>
      <c r="E944" s="16"/>
      <c r="F944" s="16"/>
      <c r="G944" s="9"/>
    </row>
    <row r="945" spans="2:7" ht="12.5" x14ac:dyDescent="0.25">
      <c r="B945" s="16"/>
      <c r="C945" s="9"/>
      <c r="D945" s="9"/>
      <c r="E945" s="16"/>
      <c r="F945" s="16"/>
      <c r="G945" s="9"/>
    </row>
    <row r="946" spans="2:7" ht="12.5" x14ac:dyDescent="0.25">
      <c r="B946" s="16"/>
      <c r="C946" s="9"/>
      <c r="D946" s="9"/>
      <c r="E946" s="16"/>
      <c r="F946" s="16"/>
      <c r="G946" s="9"/>
    </row>
    <row r="947" spans="2:7" ht="12.5" x14ac:dyDescent="0.25">
      <c r="B947" s="16"/>
      <c r="C947" s="9"/>
      <c r="D947" s="9"/>
      <c r="E947" s="16"/>
      <c r="F947" s="16"/>
      <c r="G947" s="9"/>
    </row>
    <row r="948" spans="2:7" ht="12.5" x14ac:dyDescent="0.25">
      <c r="B948" s="16"/>
      <c r="C948" s="9"/>
      <c r="D948" s="9"/>
      <c r="E948" s="16"/>
      <c r="F948" s="16"/>
      <c r="G948" s="9"/>
    </row>
    <row r="949" spans="2:7" ht="12.5" x14ac:dyDescent="0.25">
      <c r="B949" s="16"/>
      <c r="C949" s="9"/>
      <c r="D949" s="9"/>
      <c r="E949" s="16"/>
      <c r="F949" s="16"/>
      <c r="G949" s="9"/>
    </row>
    <row r="950" spans="2:7" ht="12.5" x14ac:dyDescent="0.25">
      <c r="B950" s="16"/>
      <c r="C950" s="9"/>
      <c r="D950" s="9"/>
      <c r="E950" s="16"/>
      <c r="F950" s="16"/>
      <c r="G950" s="9"/>
    </row>
    <row r="951" spans="2:7" ht="12.5" x14ac:dyDescent="0.25">
      <c r="B951" s="16"/>
      <c r="C951" s="9"/>
      <c r="D951" s="9"/>
      <c r="E951" s="16"/>
      <c r="F951" s="16"/>
      <c r="G951" s="9"/>
    </row>
    <row r="952" spans="2:7" ht="12.5" x14ac:dyDescent="0.25">
      <c r="B952" s="16"/>
      <c r="C952" s="9"/>
      <c r="D952" s="9"/>
      <c r="E952" s="16"/>
      <c r="F952" s="16"/>
      <c r="G952" s="9"/>
    </row>
    <row r="953" spans="2:7" ht="12.5" x14ac:dyDescent="0.25">
      <c r="B953" s="16"/>
      <c r="C953" s="9"/>
      <c r="D953" s="9"/>
      <c r="E953" s="16"/>
      <c r="F953" s="16"/>
      <c r="G953" s="9"/>
    </row>
    <row r="954" spans="2:7" ht="12.5" x14ac:dyDescent="0.25">
      <c r="B954" s="16"/>
      <c r="C954" s="9"/>
      <c r="D954" s="9"/>
      <c r="E954" s="16"/>
      <c r="F954" s="16"/>
      <c r="G954" s="9"/>
    </row>
    <row r="955" spans="2:7" ht="12.5" x14ac:dyDescent="0.25">
      <c r="B955" s="16"/>
      <c r="C955" s="9"/>
      <c r="D955" s="9"/>
      <c r="E955" s="16"/>
      <c r="F955" s="16"/>
      <c r="G955" s="9"/>
    </row>
    <row r="956" spans="2:7" ht="12.5" x14ac:dyDescent="0.25">
      <c r="B956" s="16"/>
      <c r="C956" s="9"/>
      <c r="D956" s="9"/>
      <c r="E956" s="16"/>
      <c r="F956" s="16"/>
      <c r="G956" s="9"/>
    </row>
    <row r="957" spans="2:7" ht="12.5" x14ac:dyDescent="0.25">
      <c r="B957" s="16"/>
      <c r="C957" s="9"/>
      <c r="D957" s="9"/>
      <c r="E957" s="16"/>
      <c r="F957" s="16"/>
      <c r="G957" s="9"/>
    </row>
    <row r="958" spans="2:7" ht="12.5" x14ac:dyDescent="0.25">
      <c r="B958" s="16"/>
      <c r="C958" s="9"/>
      <c r="D958" s="9"/>
      <c r="E958" s="16"/>
      <c r="F958" s="16"/>
      <c r="G958" s="9"/>
    </row>
    <row r="959" spans="2:7" ht="12.5" x14ac:dyDescent="0.25">
      <c r="B959" s="16"/>
      <c r="C959" s="9"/>
      <c r="D959" s="9"/>
      <c r="E959" s="16"/>
      <c r="F959" s="16"/>
      <c r="G959" s="9"/>
    </row>
    <row r="960" spans="2:7" ht="12.5" x14ac:dyDescent="0.25">
      <c r="B960" s="16"/>
      <c r="C960" s="9"/>
      <c r="D960" s="9"/>
      <c r="E960" s="16"/>
      <c r="F960" s="16"/>
      <c r="G960" s="9"/>
    </row>
    <row r="961" spans="2:7" ht="12.5" x14ac:dyDescent="0.25">
      <c r="B961" s="16"/>
      <c r="C961" s="9"/>
      <c r="D961" s="9"/>
      <c r="E961" s="16"/>
      <c r="F961" s="16"/>
      <c r="G961" s="9"/>
    </row>
    <row r="962" spans="2:7" ht="12.5" x14ac:dyDescent="0.25">
      <c r="B962" s="16"/>
      <c r="C962" s="9"/>
      <c r="D962" s="9"/>
      <c r="E962" s="16"/>
      <c r="F962" s="16"/>
      <c r="G962" s="9"/>
    </row>
    <row r="963" spans="2:7" ht="12.5" x14ac:dyDescent="0.25">
      <c r="B963" s="16"/>
      <c r="C963" s="9"/>
      <c r="D963" s="9"/>
      <c r="E963" s="16"/>
      <c r="F963" s="16"/>
      <c r="G963" s="9"/>
    </row>
    <row r="964" spans="2:7" ht="12.5" x14ac:dyDescent="0.25">
      <c r="B964" s="16"/>
      <c r="C964" s="9"/>
      <c r="D964" s="9"/>
      <c r="E964" s="16"/>
      <c r="F964" s="16"/>
      <c r="G964" s="9"/>
    </row>
    <row r="965" spans="2:7" ht="12.5" x14ac:dyDescent="0.25">
      <c r="B965" s="16"/>
      <c r="C965" s="9"/>
      <c r="D965" s="9"/>
      <c r="E965" s="16"/>
      <c r="F965" s="16"/>
      <c r="G965" s="9"/>
    </row>
    <row r="966" spans="2:7" ht="12.5" x14ac:dyDescent="0.25">
      <c r="B966" s="16"/>
      <c r="C966" s="9"/>
      <c r="D966" s="9"/>
      <c r="E966" s="16"/>
      <c r="F966" s="16"/>
      <c r="G966" s="9"/>
    </row>
    <row r="967" spans="2:7" ht="12.5" x14ac:dyDescent="0.25">
      <c r="B967" s="16"/>
      <c r="C967" s="9"/>
      <c r="D967" s="9"/>
      <c r="E967" s="16"/>
      <c r="F967" s="16"/>
      <c r="G967" s="9"/>
    </row>
    <row r="968" spans="2:7" ht="12.5" x14ac:dyDescent="0.25">
      <c r="B968" s="16"/>
      <c r="C968" s="9"/>
      <c r="D968" s="9"/>
      <c r="E968" s="16"/>
      <c r="F968" s="16"/>
      <c r="G968" s="9"/>
    </row>
    <row r="969" spans="2:7" ht="12.5" x14ac:dyDescent="0.25">
      <c r="B969" s="16"/>
      <c r="C969" s="9"/>
      <c r="D969" s="9"/>
      <c r="E969" s="16"/>
      <c r="F969" s="16"/>
      <c r="G969" s="9"/>
    </row>
    <row r="970" spans="2:7" ht="12.5" x14ac:dyDescent="0.25">
      <c r="B970" s="16"/>
      <c r="C970" s="9"/>
      <c r="D970" s="9"/>
      <c r="E970" s="16"/>
      <c r="F970" s="16"/>
      <c r="G970" s="9"/>
    </row>
    <row r="971" spans="2:7" ht="12.5" x14ac:dyDescent="0.25">
      <c r="B971" s="16"/>
      <c r="C971" s="9"/>
      <c r="D971" s="9"/>
      <c r="E971" s="16"/>
      <c r="F971" s="16"/>
      <c r="G971" s="9"/>
    </row>
    <row r="972" spans="2:7" ht="12.5" x14ac:dyDescent="0.25">
      <c r="B972" s="16"/>
      <c r="C972" s="9"/>
      <c r="D972" s="9"/>
      <c r="E972" s="16"/>
      <c r="F972" s="16"/>
      <c r="G972" s="9"/>
    </row>
    <row r="973" spans="2:7" ht="12.5" x14ac:dyDescent="0.25">
      <c r="B973" s="16"/>
      <c r="C973" s="9"/>
      <c r="D973" s="9"/>
      <c r="E973" s="16"/>
      <c r="F973" s="16"/>
      <c r="G973" s="9"/>
    </row>
    <row r="974" spans="2:7" ht="12.5" x14ac:dyDescent="0.25">
      <c r="B974" s="16"/>
      <c r="C974" s="9"/>
      <c r="D974" s="9"/>
      <c r="E974" s="16"/>
      <c r="F974" s="16"/>
      <c r="G974" s="9"/>
    </row>
    <row r="975" spans="2:7" ht="12.5" x14ac:dyDescent="0.25">
      <c r="B975" s="16"/>
      <c r="C975" s="9"/>
      <c r="D975" s="9"/>
      <c r="E975" s="16"/>
      <c r="F975" s="16"/>
      <c r="G975" s="9"/>
    </row>
    <row r="976" spans="2:7" ht="12.5" x14ac:dyDescent="0.25">
      <c r="B976" s="16"/>
      <c r="C976" s="9"/>
      <c r="D976" s="9"/>
      <c r="E976" s="16"/>
      <c r="F976" s="16"/>
      <c r="G976" s="9"/>
    </row>
    <row r="977" spans="2:7" ht="12.5" x14ac:dyDescent="0.25">
      <c r="B977" s="16"/>
      <c r="C977" s="9"/>
      <c r="D977" s="9"/>
      <c r="E977" s="16"/>
      <c r="F977" s="16"/>
      <c r="G977" s="9"/>
    </row>
    <row r="978" spans="2:7" ht="12.5" x14ac:dyDescent="0.25">
      <c r="B978" s="16"/>
      <c r="C978" s="9"/>
      <c r="D978" s="9"/>
      <c r="E978" s="16"/>
      <c r="F978" s="16"/>
      <c r="G978" s="9"/>
    </row>
    <row r="979" spans="2:7" ht="12.5" x14ac:dyDescent="0.25">
      <c r="B979" s="16"/>
      <c r="C979" s="9"/>
      <c r="D979" s="9"/>
      <c r="E979" s="16"/>
      <c r="F979" s="16"/>
      <c r="G979" s="9"/>
    </row>
    <row r="980" spans="2:7" ht="12.5" x14ac:dyDescent="0.25">
      <c r="B980" s="16"/>
      <c r="C980" s="9"/>
      <c r="D980" s="9"/>
      <c r="E980" s="16"/>
      <c r="F980" s="16"/>
      <c r="G980" s="9"/>
    </row>
    <row r="981" spans="2:7" ht="12.5" x14ac:dyDescent="0.25">
      <c r="B981" s="16"/>
      <c r="C981" s="9"/>
      <c r="D981" s="9"/>
      <c r="E981" s="16"/>
      <c r="F981" s="16"/>
      <c r="G981" s="9"/>
    </row>
    <row r="982" spans="2:7" ht="12.5" x14ac:dyDescent="0.25">
      <c r="B982" s="16"/>
      <c r="C982" s="9"/>
      <c r="D982" s="9"/>
      <c r="E982" s="16"/>
      <c r="F982" s="16"/>
      <c r="G982" s="9"/>
    </row>
    <row r="983" spans="2:7" ht="12.5" x14ac:dyDescent="0.25">
      <c r="B983" s="16"/>
      <c r="C983" s="9"/>
      <c r="D983" s="9"/>
      <c r="E983" s="16"/>
      <c r="F983" s="16"/>
      <c r="G983" s="9"/>
    </row>
    <row r="984" spans="2:7" ht="12.5" x14ac:dyDescent="0.25">
      <c r="B984" s="16"/>
      <c r="C984" s="9"/>
      <c r="D984" s="9"/>
      <c r="E984" s="16"/>
      <c r="F984" s="16"/>
      <c r="G984" s="9"/>
    </row>
    <row r="985" spans="2:7" ht="12.5" x14ac:dyDescent="0.25">
      <c r="B985" s="16"/>
      <c r="C985" s="9"/>
      <c r="D985" s="9"/>
      <c r="E985" s="16"/>
      <c r="F985" s="16"/>
      <c r="G985" s="9"/>
    </row>
    <row r="986" spans="2:7" ht="12.5" x14ac:dyDescent="0.25">
      <c r="B986" s="16"/>
      <c r="C986" s="9"/>
      <c r="D986" s="9"/>
      <c r="E986" s="16"/>
      <c r="F986" s="16"/>
      <c r="G986" s="9"/>
    </row>
    <row r="987" spans="2:7" ht="12.5" x14ac:dyDescent="0.25">
      <c r="B987" s="16"/>
      <c r="C987" s="9"/>
      <c r="D987" s="9"/>
      <c r="E987" s="16"/>
      <c r="F987" s="16"/>
      <c r="G987" s="9"/>
    </row>
    <row r="988" spans="2:7" ht="12.5" x14ac:dyDescent="0.25">
      <c r="B988" s="16"/>
      <c r="C988" s="9"/>
      <c r="D988" s="9"/>
      <c r="E988" s="16"/>
      <c r="F988" s="16"/>
      <c r="G988" s="9"/>
    </row>
    <row r="989" spans="2:7" ht="12.5" x14ac:dyDescent="0.25">
      <c r="B989" s="16"/>
      <c r="C989" s="9"/>
      <c r="D989" s="9"/>
      <c r="E989" s="16"/>
      <c r="F989" s="16"/>
      <c r="G989" s="9"/>
    </row>
    <row r="990" spans="2:7" ht="12.5" x14ac:dyDescent="0.25">
      <c r="B990" s="16"/>
      <c r="C990" s="9"/>
      <c r="D990" s="9"/>
      <c r="E990" s="16"/>
      <c r="F990" s="16"/>
      <c r="G990" s="9"/>
    </row>
    <row r="991" spans="2:7" ht="12.5" x14ac:dyDescent="0.25">
      <c r="B991" s="16"/>
      <c r="C991" s="9"/>
      <c r="D991" s="9"/>
      <c r="E991" s="16"/>
      <c r="F991" s="16"/>
      <c r="G991" s="9"/>
    </row>
    <row r="992" spans="2:7" ht="12.5" x14ac:dyDescent="0.25">
      <c r="B992" s="16"/>
      <c r="C992" s="9"/>
      <c r="D992" s="9"/>
      <c r="E992" s="16"/>
      <c r="F992" s="16"/>
      <c r="G992" s="9"/>
    </row>
    <row r="993" spans="2:7" ht="12.5" x14ac:dyDescent="0.25">
      <c r="B993" s="16"/>
      <c r="C993" s="9"/>
      <c r="D993" s="9"/>
      <c r="E993" s="16"/>
      <c r="F993" s="16"/>
      <c r="G993" s="9"/>
    </row>
    <row r="994" spans="2:7" ht="12.5" x14ac:dyDescent="0.25">
      <c r="B994" s="16"/>
      <c r="C994" s="9"/>
      <c r="D994" s="9"/>
      <c r="E994" s="16"/>
      <c r="F994" s="16"/>
      <c r="G994" s="9"/>
    </row>
    <row r="995" spans="2:7" ht="12.5" x14ac:dyDescent="0.25">
      <c r="B995" s="16"/>
      <c r="C995" s="9"/>
      <c r="D995" s="9"/>
      <c r="E995" s="16"/>
      <c r="F995" s="16"/>
      <c r="G995" s="9"/>
    </row>
    <row r="996" spans="2:7" ht="12.5" x14ac:dyDescent="0.25">
      <c r="B996" s="16"/>
      <c r="C996" s="9"/>
      <c r="D996" s="9"/>
      <c r="E996" s="16"/>
      <c r="F996" s="16"/>
      <c r="G996" s="9"/>
    </row>
    <row r="997" spans="2:7" ht="12.5" x14ac:dyDescent="0.25">
      <c r="B997" s="16"/>
      <c r="C997" s="9"/>
      <c r="D997" s="9"/>
      <c r="E997" s="16"/>
      <c r="F997" s="16"/>
      <c r="G997" s="9"/>
    </row>
    <row r="998" spans="2:7" ht="12.5" x14ac:dyDescent="0.25">
      <c r="B998" s="16"/>
      <c r="C998" s="9"/>
      <c r="D998" s="9"/>
      <c r="E998" s="16"/>
      <c r="F998" s="16"/>
      <c r="G998" s="9"/>
    </row>
    <row r="999" spans="2:7" ht="12.5" x14ac:dyDescent="0.25">
      <c r="B999" s="16"/>
      <c r="C999" s="9"/>
      <c r="D999" s="9"/>
      <c r="E999" s="16"/>
      <c r="F999" s="16"/>
      <c r="G999" s="9"/>
    </row>
    <row r="1000" spans="2:7" ht="12.5" x14ac:dyDescent="0.25">
      <c r="B1000" s="16"/>
      <c r="C1000" s="9"/>
      <c r="D1000" s="9"/>
      <c r="E1000" s="16"/>
      <c r="F1000" s="16"/>
      <c r="G1000" s="9"/>
    </row>
  </sheetData>
  <conditionalFormatting sqref="C1:C1000">
    <cfRule type="expression" dxfId="14" priority="2">
      <formula>COUNTIF(C:C,C1)&gt;1</formula>
    </cfRule>
  </conditionalFormatting>
  <conditionalFormatting sqref="B1">
    <cfRule type="expression" dxfId="13" priority="1">
      <formula>COUNTIF(B:B,B1)&gt;1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  <outlinePr summaryBelow="0" summaryRight="0"/>
  </sheetPr>
  <dimension ref="A1:G1094"/>
  <sheetViews>
    <sheetView topLeftCell="A1125" workbookViewId="0">
      <selection activeCell="I9" sqref="I9"/>
    </sheetView>
  </sheetViews>
  <sheetFormatPr defaultColWidth="12.6328125" defaultRowHeight="15.75" customHeight="1" x14ac:dyDescent="0.25"/>
  <cols>
    <col min="1" max="1" width="7.6328125" customWidth="1"/>
    <col min="6" max="6" width="17.6328125" customWidth="1"/>
    <col min="7" max="7" width="47.453125" customWidth="1"/>
  </cols>
  <sheetData>
    <row r="1" spans="1:7" ht="13" x14ac:dyDescent="0.3">
      <c r="A1" s="59" t="s">
        <v>1518</v>
      </c>
      <c r="B1" s="60" t="s">
        <v>1550</v>
      </c>
      <c r="C1" s="60" t="s">
        <v>4</v>
      </c>
      <c r="D1" s="60" t="s">
        <v>1</v>
      </c>
      <c r="E1" s="60" t="s">
        <v>2</v>
      </c>
      <c r="F1" s="60" t="s">
        <v>1552</v>
      </c>
      <c r="G1" s="61" t="s">
        <v>1522</v>
      </c>
    </row>
    <row r="2" spans="1:7" ht="15.75" customHeight="1" x14ac:dyDescent="0.25">
      <c r="A2" s="54">
        <v>1</v>
      </c>
      <c r="B2" s="35" t="s">
        <v>1553</v>
      </c>
      <c r="C2" s="35" t="s">
        <v>16</v>
      </c>
      <c r="D2" s="35" t="s">
        <v>13</v>
      </c>
      <c r="E2" s="35" t="s">
        <v>14</v>
      </c>
      <c r="F2" s="35" t="s">
        <v>1554</v>
      </c>
      <c r="G2" s="55" t="s">
        <v>1555</v>
      </c>
    </row>
    <row r="3" spans="1:7" ht="15.75" customHeight="1" x14ac:dyDescent="0.25">
      <c r="A3" s="54">
        <v>2</v>
      </c>
      <c r="B3" s="35" t="s">
        <v>1556</v>
      </c>
      <c r="C3" s="35" t="s">
        <v>16</v>
      </c>
      <c r="D3" s="35" t="s">
        <v>13</v>
      </c>
      <c r="E3" s="35" t="s">
        <v>19</v>
      </c>
      <c r="F3" s="35" t="s">
        <v>1557</v>
      </c>
      <c r="G3" s="55" t="s">
        <v>1558</v>
      </c>
    </row>
    <row r="4" spans="1:7" ht="15.75" customHeight="1" x14ac:dyDescent="0.25">
      <c r="A4" s="54">
        <v>3</v>
      </c>
      <c r="B4" s="35" t="s">
        <v>1559</v>
      </c>
      <c r="C4" s="35" t="s">
        <v>16</v>
      </c>
      <c r="D4" s="35" t="s">
        <v>13</v>
      </c>
      <c r="E4" s="35" t="s">
        <v>23</v>
      </c>
      <c r="F4" s="35" t="s">
        <v>1560</v>
      </c>
      <c r="G4" s="55" t="s">
        <v>1561</v>
      </c>
    </row>
    <row r="5" spans="1:7" ht="15.75" customHeight="1" x14ac:dyDescent="0.25">
      <c r="A5" s="54">
        <v>4</v>
      </c>
      <c r="B5" s="35" t="s">
        <v>1562</v>
      </c>
      <c r="C5" s="35" t="s">
        <v>16</v>
      </c>
      <c r="D5" s="35" t="s">
        <v>13</v>
      </c>
      <c r="E5" s="35" t="s">
        <v>25</v>
      </c>
      <c r="F5" s="35" t="s">
        <v>1563</v>
      </c>
      <c r="G5" s="55" t="s">
        <v>1564</v>
      </c>
    </row>
    <row r="6" spans="1:7" ht="15.75" customHeight="1" x14ac:dyDescent="0.25">
      <c r="A6" s="54">
        <v>5</v>
      </c>
      <c r="B6" s="35" t="s">
        <v>1565</v>
      </c>
      <c r="C6" s="35" t="s">
        <v>16</v>
      </c>
      <c r="D6" s="35" t="s">
        <v>13</v>
      </c>
      <c r="E6" s="35" t="s">
        <v>28</v>
      </c>
      <c r="F6" s="35" t="s">
        <v>1557</v>
      </c>
      <c r="G6" s="55" t="s">
        <v>1566</v>
      </c>
    </row>
    <row r="7" spans="1:7" ht="15.75" customHeight="1" x14ac:dyDescent="0.25">
      <c r="A7" s="54">
        <v>6</v>
      </c>
      <c r="B7" s="35" t="s">
        <v>1567</v>
      </c>
      <c r="C7" s="35" t="s">
        <v>16</v>
      </c>
      <c r="D7" s="35" t="s">
        <v>31</v>
      </c>
      <c r="E7" s="35" t="s">
        <v>14</v>
      </c>
      <c r="F7" s="35" t="s">
        <v>1560</v>
      </c>
      <c r="G7" s="55" t="s">
        <v>1568</v>
      </c>
    </row>
    <row r="8" spans="1:7" ht="15.75" customHeight="1" x14ac:dyDescent="0.25">
      <c r="A8" s="54">
        <v>7</v>
      </c>
      <c r="B8" s="35" t="s">
        <v>1569</v>
      </c>
      <c r="C8" s="35" t="s">
        <v>16</v>
      </c>
      <c r="D8" s="35" t="s">
        <v>31</v>
      </c>
      <c r="E8" s="35" t="s">
        <v>25</v>
      </c>
      <c r="F8" s="35" t="s">
        <v>1570</v>
      </c>
      <c r="G8" s="55" t="s">
        <v>1571</v>
      </c>
    </row>
    <row r="9" spans="1:7" ht="15.75" customHeight="1" x14ac:dyDescent="0.25">
      <c r="A9" s="54">
        <v>8</v>
      </c>
      <c r="B9" s="35" t="s">
        <v>1572</v>
      </c>
      <c r="C9" s="35" t="s">
        <v>16</v>
      </c>
      <c r="D9" s="35" t="s">
        <v>31</v>
      </c>
      <c r="E9" s="35" t="s">
        <v>36</v>
      </c>
      <c r="F9" s="35" t="s">
        <v>1573</v>
      </c>
      <c r="G9" s="55" t="s">
        <v>1574</v>
      </c>
    </row>
    <row r="10" spans="1:7" ht="15.75" customHeight="1" x14ac:dyDescent="0.25">
      <c r="A10" s="54">
        <v>9</v>
      </c>
      <c r="B10" s="35" t="s">
        <v>1575</v>
      </c>
      <c r="C10" s="35" t="s">
        <v>16</v>
      </c>
      <c r="D10" s="35" t="s">
        <v>31</v>
      </c>
      <c r="E10" s="35" t="s">
        <v>38</v>
      </c>
      <c r="F10" s="35" t="s">
        <v>1576</v>
      </c>
      <c r="G10" s="55" t="s">
        <v>1577</v>
      </c>
    </row>
    <row r="11" spans="1:7" ht="15.75" customHeight="1" x14ac:dyDescent="0.25">
      <c r="A11" s="54">
        <v>10</v>
      </c>
      <c r="B11" s="35" t="s">
        <v>1578</v>
      </c>
      <c r="C11" s="35" t="s">
        <v>16</v>
      </c>
      <c r="D11" s="35" t="s">
        <v>41</v>
      </c>
      <c r="E11" s="35" t="s">
        <v>42</v>
      </c>
      <c r="F11" s="35" t="s">
        <v>1570</v>
      </c>
      <c r="G11" s="55" t="s">
        <v>1579</v>
      </c>
    </row>
    <row r="12" spans="1:7" ht="15.75" customHeight="1" x14ac:dyDescent="0.25">
      <c r="A12" s="54">
        <v>11</v>
      </c>
      <c r="B12" s="35" t="s">
        <v>1580</v>
      </c>
      <c r="C12" s="35" t="s">
        <v>16</v>
      </c>
      <c r="D12" s="35" t="s">
        <v>41</v>
      </c>
      <c r="E12" s="35" t="s">
        <v>36</v>
      </c>
      <c r="F12" s="35" t="s">
        <v>1581</v>
      </c>
      <c r="G12" s="55" t="s">
        <v>1582</v>
      </c>
    </row>
    <row r="13" spans="1:7" ht="15.75" customHeight="1" x14ac:dyDescent="0.25">
      <c r="A13" s="54">
        <v>12</v>
      </c>
      <c r="B13" s="35" t="s">
        <v>1583</v>
      </c>
      <c r="C13" s="35" t="s">
        <v>16</v>
      </c>
      <c r="D13" s="35" t="s">
        <v>41</v>
      </c>
      <c r="E13" s="35" t="s">
        <v>38</v>
      </c>
      <c r="F13" s="35" t="s">
        <v>1584</v>
      </c>
      <c r="G13" s="55" t="s">
        <v>1585</v>
      </c>
    </row>
    <row r="14" spans="1:7" ht="15.75" customHeight="1" x14ac:dyDescent="0.25">
      <c r="A14" s="54">
        <v>13</v>
      </c>
      <c r="B14" s="35" t="s">
        <v>1586</v>
      </c>
      <c r="C14" s="35" t="s">
        <v>16</v>
      </c>
      <c r="D14" s="35" t="s">
        <v>47</v>
      </c>
      <c r="E14" s="35" t="s">
        <v>14</v>
      </c>
      <c r="F14" s="35" t="s">
        <v>1587</v>
      </c>
      <c r="G14" s="55" t="s">
        <v>1588</v>
      </c>
    </row>
    <row r="15" spans="1:7" ht="15.75" customHeight="1" x14ac:dyDescent="0.25">
      <c r="A15" s="54">
        <v>14</v>
      </c>
      <c r="B15" s="35" t="s">
        <v>1567</v>
      </c>
      <c r="C15" s="35" t="s">
        <v>50</v>
      </c>
      <c r="D15" s="35" t="s">
        <v>47</v>
      </c>
      <c r="E15" s="35" t="s">
        <v>49</v>
      </c>
      <c r="F15" s="35" t="s">
        <v>1589</v>
      </c>
      <c r="G15" s="55" t="s">
        <v>1590</v>
      </c>
    </row>
    <row r="16" spans="1:7" ht="15.75" customHeight="1" x14ac:dyDescent="0.25">
      <c r="A16" s="54">
        <v>15</v>
      </c>
      <c r="B16" s="35" t="s">
        <v>1591</v>
      </c>
      <c r="C16" s="35" t="s">
        <v>16</v>
      </c>
      <c r="D16" s="35" t="s">
        <v>47</v>
      </c>
      <c r="E16" s="35" t="s">
        <v>38</v>
      </c>
      <c r="F16" s="35" t="s">
        <v>1592</v>
      </c>
      <c r="G16" s="55" t="s">
        <v>1593</v>
      </c>
    </row>
    <row r="17" spans="1:7" ht="15.75" customHeight="1" x14ac:dyDescent="0.25">
      <c r="A17" s="54">
        <v>16</v>
      </c>
      <c r="B17" s="35" t="s">
        <v>1594</v>
      </c>
      <c r="C17" s="35" t="s">
        <v>16</v>
      </c>
      <c r="D17" s="35" t="s">
        <v>52</v>
      </c>
      <c r="E17" s="35" t="s">
        <v>53</v>
      </c>
      <c r="F17" s="35" t="s">
        <v>1595</v>
      </c>
      <c r="G17" s="55" t="s">
        <v>1596</v>
      </c>
    </row>
    <row r="18" spans="1:7" ht="15.75" customHeight="1" x14ac:dyDescent="0.25">
      <c r="A18" s="54">
        <v>17</v>
      </c>
      <c r="B18" s="35" t="s">
        <v>1597</v>
      </c>
      <c r="C18" s="35" t="s">
        <v>16</v>
      </c>
      <c r="D18" s="35" t="s">
        <v>52</v>
      </c>
      <c r="E18" s="35" t="s">
        <v>38</v>
      </c>
      <c r="F18" s="35" t="s">
        <v>1570</v>
      </c>
      <c r="G18" s="55" t="s">
        <v>1598</v>
      </c>
    </row>
    <row r="19" spans="1:7" ht="15.75" customHeight="1" x14ac:dyDescent="0.25">
      <c r="A19" s="54">
        <v>18</v>
      </c>
      <c r="B19" s="35" t="s">
        <v>1599</v>
      </c>
      <c r="C19" s="35" t="s">
        <v>16</v>
      </c>
      <c r="D19" s="35" t="s">
        <v>13</v>
      </c>
      <c r="E19" s="35" t="s">
        <v>14</v>
      </c>
      <c r="F19" s="35" t="s">
        <v>1600</v>
      </c>
      <c r="G19" s="55" t="s">
        <v>1601</v>
      </c>
    </row>
    <row r="20" spans="1:7" ht="12.5" x14ac:dyDescent="0.25">
      <c r="A20" s="54">
        <v>19</v>
      </c>
      <c r="B20" s="35" t="s">
        <v>1602</v>
      </c>
      <c r="C20" s="35" t="s">
        <v>16</v>
      </c>
      <c r="D20" s="35" t="s">
        <v>13</v>
      </c>
      <c r="E20" s="35" t="s">
        <v>14</v>
      </c>
      <c r="F20" s="35" t="s">
        <v>1603</v>
      </c>
      <c r="G20" s="55" t="s">
        <v>1604</v>
      </c>
    </row>
    <row r="21" spans="1:7" ht="12.5" x14ac:dyDescent="0.25">
      <c r="A21" s="54">
        <v>20</v>
      </c>
      <c r="B21" s="35" t="s">
        <v>1605</v>
      </c>
      <c r="C21" s="35" t="s">
        <v>16</v>
      </c>
      <c r="D21" s="35" t="s">
        <v>13</v>
      </c>
      <c r="E21" s="35" t="s">
        <v>64</v>
      </c>
      <c r="F21" s="35" t="s">
        <v>1606</v>
      </c>
      <c r="G21" s="55" t="s">
        <v>1607</v>
      </c>
    </row>
    <row r="22" spans="1:7" ht="12.5" x14ac:dyDescent="0.25">
      <c r="A22" s="54">
        <v>21</v>
      </c>
      <c r="B22" s="35" t="s">
        <v>1608</v>
      </c>
      <c r="C22" s="35" t="s">
        <v>16</v>
      </c>
      <c r="D22" s="35" t="s">
        <v>31</v>
      </c>
      <c r="E22" s="35" t="s">
        <v>25</v>
      </c>
      <c r="F22" s="35" t="s">
        <v>1609</v>
      </c>
      <c r="G22" s="55" t="s">
        <v>1610</v>
      </c>
    </row>
    <row r="23" spans="1:7" ht="12.5" x14ac:dyDescent="0.25">
      <c r="A23" s="54">
        <v>22</v>
      </c>
      <c r="B23" s="35" t="s">
        <v>1611</v>
      </c>
      <c r="C23" s="35" t="s">
        <v>16</v>
      </c>
      <c r="D23" s="35" t="s">
        <v>31</v>
      </c>
      <c r="E23" s="35" t="s">
        <v>64</v>
      </c>
      <c r="F23" s="35" t="s">
        <v>1587</v>
      </c>
      <c r="G23" s="55" t="s">
        <v>1612</v>
      </c>
    </row>
    <row r="24" spans="1:7" ht="12.5" x14ac:dyDescent="0.25">
      <c r="A24" s="54">
        <v>23</v>
      </c>
      <c r="B24" s="35" t="s">
        <v>1613</v>
      </c>
      <c r="C24" s="35" t="s">
        <v>16</v>
      </c>
      <c r="D24" s="35" t="s">
        <v>31</v>
      </c>
      <c r="E24" s="35" t="s">
        <v>64</v>
      </c>
      <c r="F24" s="35" t="s">
        <v>1581</v>
      </c>
      <c r="G24" s="55" t="s">
        <v>1614</v>
      </c>
    </row>
    <row r="25" spans="1:7" ht="12.5" x14ac:dyDescent="0.25">
      <c r="A25" s="54">
        <v>24</v>
      </c>
      <c r="B25" s="35" t="s">
        <v>1611</v>
      </c>
      <c r="C25" s="35" t="s">
        <v>50</v>
      </c>
      <c r="D25" s="35" t="s">
        <v>31</v>
      </c>
      <c r="E25" s="35" t="s">
        <v>74</v>
      </c>
      <c r="F25" s="35" t="s">
        <v>1615</v>
      </c>
      <c r="G25" s="55" t="s">
        <v>1616</v>
      </c>
    </row>
    <row r="26" spans="1:7" ht="12.5" x14ac:dyDescent="0.25">
      <c r="A26" s="54">
        <v>25</v>
      </c>
      <c r="B26" s="35" t="s">
        <v>1617</v>
      </c>
      <c r="C26" s="35" t="s">
        <v>16</v>
      </c>
      <c r="D26" s="35" t="s">
        <v>41</v>
      </c>
      <c r="E26" s="35" t="s">
        <v>64</v>
      </c>
      <c r="F26" s="35" t="s">
        <v>1609</v>
      </c>
      <c r="G26" s="55" t="s">
        <v>1618</v>
      </c>
    </row>
    <row r="27" spans="1:7" ht="12.5" x14ac:dyDescent="0.25">
      <c r="A27" s="54">
        <v>26</v>
      </c>
      <c r="B27" s="35" t="s">
        <v>1617</v>
      </c>
      <c r="C27" s="35" t="s">
        <v>50</v>
      </c>
      <c r="D27" s="35" t="s">
        <v>41</v>
      </c>
      <c r="E27" s="35" t="s">
        <v>74</v>
      </c>
      <c r="F27" s="35" t="s">
        <v>1619</v>
      </c>
      <c r="G27" s="55" t="s">
        <v>1620</v>
      </c>
    </row>
    <row r="28" spans="1:7" ht="12.5" x14ac:dyDescent="0.25">
      <c r="A28" s="54">
        <v>27</v>
      </c>
      <c r="B28" s="35" t="s">
        <v>1621</v>
      </c>
      <c r="C28" s="35" t="s">
        <v>16</v>
      </c>
      <c r="D28" s="35" t="s">
        <v>47</v>
      </c>
      <c r="E28" s="35" t="s">
        <v>14</v>
      </c>
      <c r="F28" s="35" t="s">
        <v>1584</v>
      </c>
      <c r="G28" s="55" t="s">
        <v>1622</v>
      </c>
    </row>
    <row r="29" spans="1:7" ht="12.5" x14ac:dyDescent="0.25">
      <c r="A29" s="54">
        <v>28</v>
      </c>
      <c r="B29" s="35" t="s">
        <v>1623</v>
      </c>
      <c r="C29" s="35" t="s">
        <v>16</v>
      </c>
      <c r="D29" s="35" t="s">
        <v>47</v>
      </c>
      <c r="E29" s="35" t="s">
        <v>25</v>
      </c>
      <c r="F29" s="35" t="s">
        <v>1624</v>
      </c>
      <c r="G29" s="55" t="s">
        <v>1625</v>
      </c>
    </row>
    <row r="30" spans="1:7" ht="12.5" x14ac:dyDescent="0.25">
      <c r="A30" s="54">
        <v>29</v>
      </c>
      <c r="B30" s="35" t="s">
        <v>1626</v>
      </c>
      <c r="C30" s="35" t="s">
        <v>16</v>
      </c>
      <c r="D30" s="35" t="s">
        <v>47</v>
      </c>
      <c r="E30" s="35" t="s">
        <v>25</v>
      </c>
      <c r="F30" s="35" t="s">
        <v>1560</v>
      </c>
      <c r="G30" s="55" t="s">
        <v>1627</v>
      </c>
    </row>
    <row r="31" spans="1:7" ht="12.5" x14ac:dyDescent="0.25">
      <c r="A31" s="54">
        <v>30</v>
      </c>
      <c r="B31" s="35" t="s">
        <v>1628</v>
      </c>
      <c r="C31" s="35" t="s">
        <v>16</v>
      </c>
      <c r="D31" s="35" t="s">
        <v>47</v>
      </c>
      <c r="E31" s="35" t="s">
        <v>25</v>
      </c>
      <c r="F31" s="35" t="s">
        <v>1603</v>
      </c>
      <c r="G31" s="55" t="s">
        <v>1629</v>
      </c>
    </row>
    <row r="32" spans="1:7" ht="12.5" x14ac:dyDescent="0.25">
      <c r="A32" s="54">
        <v>31</v>
      </c>
      <c r="B32" s="35" t="s">
        <v>1630</v>
      </c>
      <c r="C32" s="35" t="s">
        <v>16</v>
      </c>
      <c r="D32" s="35" t="s">
        <v>47</v>
      </c>
      <c r="E32" s="35" t="s">
        <v>64</v>
      </c>
      <c r="F32" s="35" t="s">
        <v>1587</v>
      </c>
      <c r="G32" s="55" t="s">
        <v>1631</v>
      </c>
    </row>
    <row r="33" spans="1:7" ht="12.5" x14ac:dyDescent="0.25">
      <c r="A33" s="54">
        <v>32</v>
      </c>
      <c r="B33" s="35" t="s">
        <v>1632</v>
      </c>
      <c r="C33" s="35" t="s">
        <v>16</v>
      </c>
      <c r="D33" s="35" t="s">
        <v>47</v>
      </c>
      <c r="E33" s="35" t="s">
        <v>64</v>
      </c>
      <c r="F33" s="35" t="s">
        <v>1633</v>
      </c>
      <c r="G33" s="55" t="s">
        <v>1634</v>
      </c>
    </row>
    <row r="34" spans="1:7" ht="12.5" x14ac:dyDescent="0.25">
      <c r="A34" s="54">
        <v>33</v>
      </c>
      <c r="B34" s="35" t="s">
        <v>1635</v>
      </c>
      <c r="C34" s="35" t="s">
        <v>16</v>
      </c>
      <c r="D34" s="35" t="s">
        <v>52</v>
      </c>
      <c r="E34" s="35" t="s">
        <v>14</v>
      </c>
      <c r="F34" s="35" t="s">
        <v>1636</v>
      </c>
      <c r="G34" s="55" t="s">
        <v>1637</v>
      </c>
    </row>
    <row r="35" spans="1:7" ht="12.5" x14ac:dyDescent="0.25">
      <c r="A35" s="54">
        <v>34</v>
      </c>
      <c r="B35" s="35" t="s">
        <v>1638</v>
      </c>
      <c r="C35" s="35" t="s">
        <v>50</v>
      </c>
      <c r="D35" s="35" t="s">
        <v>52</v>
      </c>
      <c r="E35" s="35" t="s">
        <v>14</v>
      </c>
      <c r="F35" s="35" t="s">
        <v>1595</v>
      </c>
      <c r="G35" s="55" t="s">
        <v>1639</v>
      </c>
    </row>
    <row r="36" spans="1:7" ht="12.5" x14ac:dyDescent="0.25">
      <c r="A36" s="54">
        <v>35</v>
      </c>
      <c r="B36" s="35" t="s">
        <v>1605</v>
      </c>
      <c r="C36" s="35" t="s">
        <v>50</v>
      </c>
      <c r="D36" s="35" t="s">
        <v>52</v>
      </c>
      <c r="E36" s="35" t="s">
        <v>90</v>
      </c>
      <c r="F36" s="35" t="s">
        <v>1640</v>
      </c>
      <c r="G36" s="55" t="s">
        <v>1641</v>
      </c>
    </row>
    <row r="37" spans="1:7" ht="12.5" x14ac:dyDescent="0.25">
      <c r="A37" s="54">
        <v>36</v>
      </c>
      <c r="B37" s="35" t="s">
        <v>1642</v>
      </c>
      <c r="C37" s="35" t="s">
        <v>50</v>
      </c>
      <c r="D37" s="35" t="s">
        <v>13</v>
      </c>
      <c r="E37" s="35" t="s">
        <v>92</v>
      </c>
      <c r="F37" s="35" t="s">
        <v>1584</v>
      </c>
      <c r="G37" s="55" t="s">
        <v>1643</v>
      </c>
    </row>
    <row r="38" spans="1:7" ht="12.5" x14ac:dyDescent="0.25">
      <c r="A38" s="54">
        <v>37</v>
      </c>
      <c r="B38" s="35" t="s">
        <v>1642</v>
      </c>
      <c r="C38" s="35" t="s">
        <v>16</v>
      </c>
      <c r="D38" s="35" t="s">
        <v>13</v>
      </c>
      <c r="E38" s="35" t="s">
        <v>96</v>
      </c>
      <c r="F38" s="35" t="s">
        <v>1644</v>
      </c>
      <c r="G38" s="55" t="s">
        <v>1645</v>
      </c>
    </row>
    <row r="39" spans="1:7" ht="12.5" x14ac:dyDescent="0.25">
      <c r="A39" s="54">
        <v>38</v>
      </c>
      <c r="B39" s="35" t="s">
        <v>1646</v>
      </c>
      <c r="C39" s="35" t="s">
        <v>16</v>
      </c>
      <c r="D39" s="35" t="s">
        <v>13</v>
      </c>
      <c r="E39" s="35" t="s">
        <v>64</v>
      </c>
      <c r="F39" s="35" t="s">
        <v>1644</v>
      </c>
      <c r="G39" s="55" t="s">
        <v>1647</v>
      </c>
    </row>
    <row r="40" spans="1:7" ht="12.5" x14ac:dyDescent="0.25">
      <c r="A40" s="54">
        <v>39</v>
      </c>
      <c r="B40" s="35" t="s">
        <v>1648</v>
      </c>
      <c r="C40" s="35" t="s">
        <v>16</v>
      </c>
      <c r="D40" s="35" t="s">
        <v>13</v>
      </c>
      <c r="E40" s="35" t="s">
        <v>101</v>
      </c>
      <c r="F40" s="35" t="s">
        <v>1595</v>
      </c>
      <c r="G40" s="55" t="s">
        <v>1649</v>
      </c>
    </row>
    <row r="41" spans="1:7" ht="12.5" x14ac:dyDescent="0.25">
      <c r="A41" s="54">
        <v>40</v>
      </c>
      <c r="B41" s="35" t="s">
        <v>1646</v>
      </c>
      <c r="C41" s="35" t="s">
        <v>50</v>
      </c>
      <c r="D41" s="35" t="s">
        <v>31</v>
      </c>
      <c r="E41" s="35" t="s">
        <v>92</v>
      </c>
      <c r="F41" s="35" t="s">
        <v>1587</v>
      </c>
      <c r="G41" s="55" t="s">
        <v>1650</v>
      </c>
    </row>
    <row r="42" spans="1:7" ht="12.5" x14ac:dyDescent="0.25">
      <c r="A42" s="54">
        <v>41</v>
      </c>
      <c r="B42" s="35" t="s">
        <v>1651</v>
      </c>
      <c r="C42" s="35" t="s">
        <v>50</v>
      </c>
      <c r="D42" s="35" t="s">
        <v>31</v>
      </c>
      <c r="E42" s="35" t="s">
        <v>92</v>
      </c>
      <c r="F42" s="35" t="s">
        <v>1554</v>
      </c>
      <c r="G42" s="55" t="s">
        <v>1652</v>
      </c>
    </row>
    <row r="43" spans="1:7" ht="12.5" x14ac:dyDescent="0.25">
      <c r="A43" s="54">
        <v>42</v>
      </c>
      <c r="B43" s="35" t="s">
        <v>1653</v>
      </c>
      <c r="C43" s="35" t="s">
        <v>50</v>
      </c>
      <c r="D43" s="35" t="s">
        <v>31</v>
      </c>
      <c r="E43" s="35" t="s">
        <v>92</v>
      </c>
      <c r="F43" s="35" t="s">
        <v>1606</v>
      </c>
      <c r="G43" s="55" t="s">
        <v>1654</v>
      </c>
    </row>
    <row r="44" spans="1:7" ht="12.5" x14ac:dyDescent="0.25">
      <c r="A44" s="54">
        <v>43</v>
      </c>
      <c r="B44" s="35" t="s">
        <v>1655</v>
      </c>
      <c r="C44" s="35" t="s">
        <v>50</v>
      </c>
      <c r="D44" s="35" t="s">
        <v>31</v>
      </c>
      <c r="E44" s="35" t="s">
        <v>92</v>
      </c>
      <c r="F44" s="35" t="s">
        <v>1656</v>
      </c>
      <c r="G44" s="55" t="s">
        <v>1657</v>
      </c>
    </row>
    <row r="45" spans="1:7" ht="12.5" x14ac:dyDescent="0.25">
      <c r="A45" s="54">
        <v>44</v>
      </c>
      <c r="B45" s="35" t="s">
        <v>1658</v>
      </c>
      <c r="C45" s="35" t="s">
        <v>50</v>
      </c>
      <c r="D45" s="35" t="s">
        <v>31</v>
      </c>
      <c r="E45" s="35" t="s">
        <v>92</v>
      </c>
      <c r="F45" s="35" t="s">
        <v>1659</v>
      </c>
      <c r="G45" s="55" t="s">
        <v>1660</v>
      </c>
    </row>
    <row r="46" spans="1:7" ht="12.5" x14ac:dyDescent="0.25">
      <c r="A46" s="54">
        <v>45</v>
      </c>
      <c r="B46" s="35" t="s">
        <v>1661</v>
      </c>
      <c r="C46" s="35" t="s">
        <v>16</v>
      </c>
      <c r="D46" s="35" t="s">
        <v>31</v>
      </c>
      <c r="E46" s="35" t="s">
        <v>114</v>
      </c>
      <c r="F46" s="35" t="s">
        <v>1609</v>
      </c>
      <c r="G46" s="55" t="s">
        <v>1662</v>
      </c>
    </row>
    <row r="47" spans="1:7" ht="12.5" x14ac:dyDescent="0.25">
      <c r="A47" s="54">
        <v>46</v>
      </c>
      <c r="B47" s="35" t="s">
        <v>1663</v>
      </c>
      <c r="C47" s="35" t="s">
        <v>16</v>
      </c>
      <c r="D47" s="35" t="s">
        <v>31</v>
      </c>
      <c r="E47" s="35" t="s">
        <v>114</v>
      </c>
      <c r="F47" s="35" t="s">
        <v>1554</v>
      </c>
      <c r="G47" s="55" t="s">
        <v>1664</v>
      </c>
    </row>
    <row r="48" spans="1:7" ht="12.5" x14ac:dyDescent="0.25">
      <c r="A48" s="54">
        <v>47</v>
      </c>
      <c r="B48" s="35" t="s">
        <v>1665</v>
      </c>
      <c r="C48" s="35" t="s">
        <v>50</v>
      </c>
      <c r="D48" s="35" t="s">
        <v>41</v>
      </c>
      <c r="E48" s="35" t="s">
        <v>92</v>
      </c>
      <c r="F48" s="35" t="s">
        <v>1576</v>
      </c>
      <c r="G48" s="55" t="s">
        <v>1666</v>
      </c>
    </row>
    <row r="49" spans="1:7" ht="12.5" x14ac:dyDescent="0.25">
      <c r="A49" s="54">
        <v>48</v>
      </c>
      <c r="B49" s="35" t="s">
        <v>1665</v>
      </c>
      <c r="C49" s="35" t="s">
        <v>16</v>
      </c>
      <c r="D49" s="35" t="s">
        <v>41</v>
      </c>
      <c r="E49" s="35" t="s">
        <v>64</v>
      </c>
      <c r="F49" s="35" t="s">
        <v>1595</v>
      </c>
      <c r="G49" s="55" t="s">
        <v>1667</v>
      </c>
    </row>
    <row r="50" spans="1:7" ht="12.5" x14ac:dyDescent="0.25">
      <c r="A50" s="54">
        <v>49</v>
      </c>
      <c r="B50" s="35" t="s">
        <v>1651</v>
      </c>
      <c r="C50" s="35" t="s">
        <v>16</v>
      </c>
      <c r="D50" s="35" t="s">
        <v>47</v>
      </c>
      <c r="E50" s="35" t="s">
        <v>121</v>
      </c>
      <c r="F50" s="35" t="s">
        <v>1640</v>
      </c>
      <c r="G50" s="55" t="s">
        <v>1668</v>
      </c>
    </row>
    <row r="51" spans="1:7" ht="12.5" x14ac:dyDescent="0.25">
      <c r="A51" s="54">
        <v>50</v>
      </c>
      <c r="B51" s="35" t="s">
        <v>1653</v>
      </c>
      <c r="C51" s="35" t="s">
        <v>16</v>
      </c>
      <c r="D51" s="35" t="s">
        <v>47</v>
      </c>
      <c r="E51" s="35" t="s">
        <v>121</v>
      </c>
      <c r="F51" s="35" t="s">
        <v>1644</v>
      </c>
      <c r="G51" s="55" t="s">
        <v>1669</v>
      </c>
    </row>
    <row r="52" spans="1:7" ht="12.5" x14ac:dyDescent="0.25">
      <c r="A52" s="54">
        <v>51</v>
      </c>
      <c r="B52" s="35" t="s">
        <v>1655</v>
      </c>
      <c r="C52" s="35" t="s">
        <v>16</v>
      </c>
      <c r="D52" s="35" t="s">
        <v>47</v>
      </c>
      <c r="E52" s="35" t="s">
        <v>121</v>
      </c>
      <c r="F52" s="35" t="s">
        <v>1656</v>
      </c>
      <c r="G52" s="55" t="s">
        <v>1670</v>
      </c>
    </row>
    <row r="53" spans="1:7" ht="12.5" x14ac:dyDescent="0.25">
      <c r="A53" s="54">
        <v>52</v>
      </c>
      <c r="B53" s="35" t="s">
        <v>1658</v>
      </c>
      <c r="C53" s="35" t="s">
        <v>16</v>
      </c>
      <c r="D53" s="35" t="s">
        <v>47</v>
      </c>
      <c r="E53" s="35" t="s">
        <v>121</v>
      </c>
      <c r="F53" s="35" t="s">
        <v>1576</v>
      </c>
      <c r="G53" s="55" t="s">
        <v>1671</v>
      </c>
    </row>
    <row r="54" spans="1:7" ht="12.5" x14ac:dyDescent="0.25">
      <c r="A54" s="54">
        <v>53</v>
      </c>
      <c r="B54" s="35" t="s">
        <v>1672</v>
      </c>
      <c r="C54" s="35" t="s">
        <v>16</v>
      </c>
      <c r="D54" s="35" t="s">
        <v>47</v>
      </c>
      <c r="E54" s="35" t="s">
        <v>25</v>
      </c>
      <c r="F54" s="35" t="s">
        <v>1554</v>
      </c>
      <c r="G54" s="55" t="s">
        <v>1673</v>
      </c>
    </row>
    <row r="55" spans="1:7" ht="12.5" x14ac:dyDescent="0.25">
      <c r="A55" s="54">
        <v>54</v>
      </c>
      <c r="B55" s="35" t="s">
        <v>1672</v>
      </c>
      <c r="C55" s="35" t="s">
        <v>50</v>
      </c>
      <c r="D55" s="35" t="s">
        <v>47</v>
      </c>
      <c r="E55" s="35" t="s">
        <v>49</v>
      </c>
      <c r="F55" s="35" t="s">
        <v>1563</v>
      </c>
      <c r="G55" s="55" t="s">
        <v>1674</v>
      </c>
    </row>
    <row r="56" spans="1:7" ht="12.5" x14ac:dyDescent="0.25">
      <c r="A56" s="54">
        <v>55</v>
      </c>
      <c r="B56" s="35" t="s">
        <v>1648</v>
      </c>
      <c r="C56" s="35" t="s">
        <v>50</v>
      </c>
      <c r="D56" s="35" t="s">
        <v>52</v>
      </c>
      <c r="E56" s="35" t="s">
        <v>92</v>
      </c>
      <c r="F56" s="35" t="s">
        <v>1675</v>
      </c>
      <c r="G56" s="55" t="s">
        <v>1676</v>
      </c>
    </row>
    <row r="57" spans="1:7" ht="12.5" x14ac:dyDescent="0.25">
      <c r="A57" s="54">
        <v>56</v>
      </c>
      <c r="B57" s="35" t="s">
        <v>1661</v>
      </c>
      <c r="C57" s="35" t="s">
        <v>50</v>
      </c>
      <c r="D57" s="35" t="s">
        <v>52</v>
      </c>
      <c r="E57" s="35" t="s">
        <v>90</v>
      </c>
      <c r="F57" s="35" t="s">
        <v>1656</v>
      </c>
      <c r="G57" s="55" t="s">
        <v>1677</v>
      </c>
    </row>
    <row r="58" spans="1:7" ht="12.5" x14ac:dyDescent="0.25">
      <c r="A58" s="54">
        <v>57</v>
      </c>
      <c r="B58" s="35" t="s">
        <v>1663</v>
      </c>
      <c r="C58" s="35" t="s">
        <v>50</v>
      </c>
      <c r="D58" s="35" t="s">
        <v>52</v>
      </c>
      <c r="E58" s="35" t="s">
        <v>90</v>
      </c>
      <c r="F58" s="35" t="s">
        <v>1678</v>
      </c>
      <c r="G58" s="55" t="s">
        <v>1679</v>
      </c>
    </row>
    <row r="59" spans="1:7" ht="12.5" x14ac:dyDescent="0.25">
      <c r="A59" s="54">
        <v>58</v>
      </c>
      <c r="B59" s="35" t="s">
        <v>1680</v>
      </c>
      <c r="C59" s="35" t="s">
        <v>16</v>
      </c>
      <c r="D59" s="35" t="s">
        <v>13</v>
      </c>
      <c r="E59" s="35" t="s">
        <v>14</v>
      </c>
      <c r="F59" s="35" t="s">
        <v>1606</v>
      </c>
      <c r="G59" s="55" t="s">
        <v>1681</v>
      </c>
    </row>
    <row r="60" spans="1:7" ht="12.5" x14ac:dyDescent="0.25">
      <c r="A60" s="54">
        <v>59</v>
      </c>
      <c r="B60" s="35" t="s">
        <v>1682</v>
      </c>
      <c r="C60" s="35" t="s">
        <v>16</v>
      </c>
      <c r="D60" s="35" t="s">
        <v>13</v>
      </c>
      <c r="E60" s="35" t="s">
        <v>25</v>
      </c>
      <c r="F60" s="35" t="s">
        <v>1595</v>
      </c>
      <c r="G60" s="55" t="s">
        <v>1683</v>
      </c>
    </row>
    <row r="61" spans="1:7" ht="12.5" x14ac:dyDescent="0.25">
      <c r="A61" s="54">
        <v>60</v>
      </c>
      <c r="B61" s="35" t="s">
        <v>1684</v>
      </c>
      <c r="C61" s="35" t="s">
        <v>16</v>
      </c>
      <c r="D61" s="35" t="s">
        <v>31</v>
      </c>
      <c r="E61" s="35" t="s">
        <v>132</v>
      </c>
      <c r="F61" s="35" t="s">
        <v>1600</v>
      </c>
      <c r="G61" s="55" t="s">
        <v>1685</v>
      </c>
    </row>
    <row r="62" spans="1:7" ht="12.5" x14ac:dyDescent="0.25">
      <c r="A62" s="54">
        <v>61</v>
      </c>
      <c r="B62" s="35" t="s">
        <v>1684</v>
      </c>
      <c r="C62" s="35" t="s">
        <v>50</v>
      </c>
      <c r="D62" s="35" t="s">
        <v>31</v>
      </c>
      <c r="E62" s="35" t="s">
        <v>135</v>
      </c>
      <c r="F62" s="35" t="s">
        <v>1686</v>
      </c>
      <c r="G62" s="55" t="s">
        <v>1687</v>
      </c>
    </row>
    <row r="63" spans="1:7" ht="12.5" x14ac:dyDescent="0.25">
      <c r="A63" s="54">
        <v>62</v>
      </c>
      <c r="B63" s="35" t="s">
        <v>1688</v>
      </c>
      <c r="C63" s="35" t="s">
        <v>16</v>
      </c>
      <c r="D63" s="35" t="s">
        <v>31</v>
      </c>
      <c r="E63" s="35" t="s">
        <v>64</v>
      </c>
      <c r="F63" s="35" t="s">
        <v>1587</v>
      </c>
      <c r="G63" s="55" t="s">
        <v>1689</v>
      </c>
    </row>
    <row r="64" spans="1:7" ht="12.5" x14ac:dyDescent="0.25">
      <c r="A64" s="54">
        <v>63</v>
      </c>
      <c r="B64" s="35" t="s">
        <v>1688</v>
      </c>
      <c r="C64" s="35" t="s">
        <v>50</v>
      </c>
      <c r="D64" s="35" t="s">
        <v>31</v>
      </c>
      <c r="E64" s="35" t="s">
        <v>138</v>
      </c>
      <c r="F64" s="35" t="s">
        <v>1576</v>
      </c>
      <c r="G64" s="55" t="s">
        <v>1690</v>
      </c>
    </row>
    <row r="65" spans="1:7" ht="12.5" x14ac:dyDescent="0.25">
      <c r="A65" s="54">
        <v>64</v>
      </c>
      <c r="B65" s="35" t="s">
        <v>1691</v>
      </c>
      <c r="C65" s="35" t="s">
        <v>16</v>
      </c>
      <c r="D65" s="35" t="s">
        <v>41</v>
      </c>
      <c r="E65" s="35" t="s">
        <v>139</v>
      </c>
      <c r="F65" s="35" t="s">
        <v>1560</v>
      </c>
      <c r="G65" s="55" t="s">
        <v>1692</v>
      </c>
    </row>
    <row r="66" spans="1:7" ht="12.5" x14ac:dyDescent="0.25">
      <c r="A66" s="54">
        <v>65</v>
      </c>
      <c r="B66" s="35" t="s">
        <v>1691</v>
      </c>
      <c r="C66" s="35" t="s">
        <v>50</v>
      </c>
      <c r="D66" s="35" t="s">
        <v>41</v>
      </c>
      <c r="E66" s="35" t="s">
        <v>49</v>
      </c>
      <c r="F66" s="35" t="s">
        <v>1560</v>
      </c>
      <c r="G66" s="55" t="s">
        <v>1693</v>
      </c>
    </row>
    <row r="67" spans="1:7" ht="12.5" x14ac:dyDescent="0.25">
      <c r="A67" s="54">
        <v>66</v>
      </c>
      <c r="B67" s="35" t="s">
        <v>1682</v>
      </c>
      <c r="C67" s="35" t="s">
        <v>50</v>
      </c>
      <c r="D67" s="35" t="s">
        <v>41</v>
      </c>
      <c r="E67" s="35" t="s">
        <v>49</v>
      </c>
      <c r="F67" s="35" t="s">
        <v>1592</v>
      </c>
      <c r="G67" s="55" t="s">
        <v>1694</v>
      </c>
    </row>
    <row r="68" spans="1:7" ht="12.5" x14ac:dyDescent="0.25">
      <c r="A68" s="54">
        <v>67</v>
      </c>
      <c r="B68" s="35" t="s">
        <v>1682</v>
      </c>
      <c r="C68" s="35" t="s">
        <v>144</v>
      </c>
      <c r="D68" s="35" t="s">
        <v>41</v>
      </c>
      <c r="E68" s="35" t="s">
        <v>49</v>
      </c>
      <c r="F68" s="35" t="s">
        <v>1619</v>
      </c>
      <c r="G68" s="55" t="s">
        <v>1695</v>
      </c>
    </row>
    <row r="69" spans="1:7" ht="12.5" x14ac:dyDescent="0.25">
      <c r="A69" s="54">
        <v>68</v>
      </c>
      <c r="B69" s="35" t="s">
        <v>1696</v>
      </c>
      <c r="C69" s="35" t="s">
        <v>16</v>
      </c>
      <c r="D69" s="35" t="s">
        <v>47</v>
      </c>
      <c r="E69" s="35" t="s">
        <v>14</v>
      </c>
      <c r="F69" s="35" t="s">
        <v>1697</v>
      </c>
      <c r="G69" s="55" t="s">
        <v>1698</v>
      </c>
    </row>
    <row r="70" spans="1:7" ht="12.5" x14ac:dyDescent="0.25">
      <c r="A70" s="54">
        <v>69</v>
      </c>
      <c r="B70" s="35" t="s">
        <v>1696</v>
      </c>
      <c r="C70" s="35" t="s">
        <v>50</v>
      </c>
      <c r="D70" s="35" t="s">
        <v>47</v>
      </c>
      <c r="E70" s="35" t="s">
        <v>147</v>
      </c>
      <c r="F70" s="35" t="s">
        <v>1675</v>
      </c>
      <c r="G70" s="55" t="s">
        <v>1699</v>
      </c>
    </row>
    <row r="71" spans="1:7" ht="12.5" x14ac:dyDescent="0.25">
      <c r="A71" s="54">
        <v>70</v>
      </c>
      <c r="B71" s="35" t="s">
        <v>1700</v>
      </c>
      <c r="C71" s="35" t="s">
        <v>16</v>
      </c>
      <c r="D71" s="35" t="s">
        <v>47</v>
      </c>
      <c r="E71" s="35" t="s">
        <v>64</v>
      </c>
      <c r="F71" s="35" t="s">
        <v>1557</v>
      </c>
      <c r="G71" s="55" t="s">
        <v>1701</v>
      </c>
    </row>
    <row r="72" spans="1:7" ht="12.5" x14ac:dyDescent="0.25">
      <c r="A72" s="54">
        <v>71</v>
      </c>
      <c r="B72" s="35" t="s">
        <v>1680</v>
      </c>
      <c r="C72" s="35" t="s">
        <v>50</v>
      </c>
      <c r="D72" s="35" t="s">
        <v>47</v>
      </c>
      <c r="E72" s="35" t="s">
        <v>49</v>
      </c>
      <c r="F72" s="35" t="s">
        <v>1702</v>
      </c>
      <c r="G72" s="55" t="s">
        <v>1703</v>
      </c>
    </row>
    <row r="73" spans="1:7" ht="12.5" x14ac:dyDescent="0.25">
      <c r="A73" s="54">
        <v>72</v>
      </c>
      <c r="B73" s="35" t="s">
        <v>1700</v>
      </c>
      <c r="C73" s="35" t="s">
        <v>50</v>
      </c>
      <c r="D73" s="35" t="s">
        <v>47</v>
      </c>
      <c r="E73" s="35" t="s">
        <v>150</v>
      </c>
      <c r="F73" s="35" t="s">
        <v>1704</v>
      </c>
      <c r="G73" s="55" t="s">
        <v>1705</v>
      </c>
    </row>
    <row r="74" spans="1:7" ht="12.5" x14ac:dyDescent="0.25">
      <c r="A74" s="54">
        <v>73</v>
      </c>
      <c r="B74" s="35" t="s">
        <v>1706</v>
      </c>
      <c r="C74" s="35" t="s">
        <v>50</v>
      </c>
      <c r="D74" s="35" t="s">
        <v>52</v>
      </c>
      <c r="E74" s="35" t="s">
        <v>151</v>
      </c>
      <c r="F74" s="35" t="s">
        <v>1702</v>
      </c>
      <c r="G74" s="55" t="s">
        <v>1707</v>
      </c>
    </row>
    <row r="75" spans="1:7" ht="12.5" x14ac:dyDescent="0.25">
      <c r="A75" s="54">
        <v>74</v>
      </c>
      <c r="B75" s="35" t="s">
        <v>1706</v>
      </c>
      <c r="C75" s="35" t="s">
        <v>144</v>
      </c>
      <c r="D75" s="35" t="s">
        <v>52</v>
      </c>
      <c r="E75" s="35" t="s">
        <v>151</v>
      </c>
      <c r="F75" s="35" t="s">
        <v>1573</v>
      </c>
      <c r="G75" s="55" t="s">
        <v>1708</v>
      </c>
    </row>
    <row r="76" spans="1:7" ht="12.5" x14ac:dyDescent="0.25">
      <c r="A76" s="54">
        <v>75</v>
      </c>
      <c r="B76" s="35" t="s">
        <v>1706</v>
      </c>
      <c r="C76" s="35" t="s">
        <v>16</v>
      </c>
      <c r="D76" s="35" t="s">
        <v>52</v>
      </c>
      <c r="E76" s="35" t="s">
        <v>154</v>
      </c>
      <c r="F76" s="35" t="s">
        <v>1587</v>
      </c>
      <c r="G76" s="55" t="s">
        <v>1709</v>
      </c>
    </row>
    <row r="77" spans="1:7" ht="12.5" x14ac:dyDescent="0.25">
      <c r="A77" s="54">
        <v>76</v>
      </c>
      <c r="B77" s="35" t="s">
        <v>1706</v>
      </c>
      <c r="C77" s="35" t="s">
        <v>155</v>
      </c>
      <c r="D77" s="35" t="s">
        <v>52</v>
      </c>
      <c r="E77" s="35" t="s">
        <v>154</v>
      </c>
      <c r="F77" s="35" t="s">
        <v>1710</v>
      </c>
      <c r="G77" s="55" t="s">
        <v>1711</v>
      </c>
    </row>
    <row r="78" spans="1:7" ht="12.5" x14ac:dyDescent="0.25">
      <c r="A78" s="54">
        <v>77</v>
      </c>
      <c r="B78" s="35" t="s">
        <v>1712</v>
      </c>
      <c r="C78" s="35" t="s">
        <v>16</v>
      </c>
      <c r="D78" s="35" t="s">
        <v>13</v>
      </c>
      <c r="E78" s="35" t="s">
        <v>14</v>
      </c>
      <c r="F78" s="35" t="s">
        <v>1581</v>
      </c>
      <c r="G78" s="55" t="s">
        <v>1713</v>
      </c>
    </row>
    <row r="79" spans="1:7" ht="12.5" x14ac:dyDescent="0.25">
      <c r="A79" s="54">
        <v>78</v>
      </c>
      <c r="B79" s="35" t="s">
        <v>1714</v>
      </c>
      <c r="C79" s="35" t="s">
        <v>16</v>
      </c>
      <c r="D79" s="35" t="s">
        <v>13</v>
      </c>
      <c r="E79" s="35" t="s">
        <v>14</v>
      </c>
      <c r="F79" s="35" t="s">
        <v>1715</v>
      </c>
      <c r="G79" s="55" t="s">
        <v>1716</v>
      </c>
    </row>
    <row r="80" spans="1:7" ht="12.5" x14ac:dyDescent="0.25">
      <c r="A80" s="54">
        <v>79</v>
      </c>
      <c r="B80" s="35" t="s">
        <v>1712</v>
      </c>
      <c r="C80" s="35" t="s">
        <v>50</v>
      </c>
      <c r="D80" s="35" t="s">
        <v>13</v>
      </c>
      <c r="E80" s="35" t="s">
        <v>147</v>
      </c>
      <c r="F80" s="35" t="s">
        <v>1595</v>
      </c>
      <c r="G80" s="55" t="s">
        <v>1717</v>
      </c>
    </row>
    <row r="81" spans="1:7" ht="12.5" x14ac:dyDescent="0.25">
      <c r="A81" s="54">
        <v>80</v>
      </c>
      <c r="B81" s="35" t="s">
        <v>1714</v>
      </c>
      <c r="C81" s="35" t="s">
        <v>50</v>
      </c>
      <c r="D81" s="35" t="s">
        <v>13</v>
      </c>
      <c r="E81" s="35" t="s">
        <v>147</v>
      </c>
      <c r="F81" s="35" t="s">
        <v>1606</v>
      </c>
      <c r="G81" s="55" t="s">
        <v>1718</v>
      </c>
    </row>
    <row r="82" spans="1:7" ht="12.5" x14ac:dyDescent="0.25">
      <c r="A82" s="54">
        <v>81</v>
      </c>
      <c r="B82" s="35" t="s">
        <v>1719</v>
      </c>
      <c r="C82" s="35" t="s">
        <v>16</v>
      </c>
      <c r="D82" s="35" t="s">
        <v>13</v>
      </c>
      <c r="E82" s="35" t="s">
        <v>38</v>
      </c>
      <c r="F82" s="35" t="s">
        <v>1702</v>
      </c>
      <c r="G82" s="55" t="s">
        <v>1720</v>
      </c>
    </row>
    <row r="83" spans="1:7" ht="12.5" x14ac:dyDescent="0.25">
      <c r="A83" s="54">
        <v>82</v>
      </c>
      <c r="B83" s="35" t="s">
        <v>1721</v>
      </c>
      <c r="C83" s="35" t="s">
        <v>50</v>
      </c>
      <c r="D83" s="35" t="s">
        <v>31</v>
      </c>
      <c r="E83" s="35" t="s">
        <v>92</v>
      </c>
      <c r="F83" s="35" t="s">
        <v>1557</v>
      </c>
      <c r="G83" s="55" t="s">
        <v>1722</v>
      </c>
    </row>
    <row r="84" spans="1:7" ht="12.5" x14ac:dyDescent="0.25">
      <c r="A84" s="54">
        <v>83</v>
      </c>
      <c r="B84" s="35" t="s">
        <v>1721</v>
      </c>
      <c r="C84" s="35" t="s">
        <v>144</v>
      </c>
      <c r="D84" s="35" t="s">
        <v>31</v>
      </c>
      <c r="E84" s="35" t="s">
        <v>92</v>
      </c>
      <c r="F84" s="35" t="s">
        <v>1606</v>
      </c>
      <c r="G84" s="55" t="s">
        <v>1723</v>
      </c>
    </row>
    <row r="85" spans="1:7" ht="12.5" x14ac:dyDescent="0.25">
      <c r="A85" s="54">
        <v>84</v>
      </c>
      <c r="B85" s="35" t="s">
        <v>1721</v>
      </c>
      <c r="C85" s="35" t="s">
        <v>16</v>
      </c>
      <c r="D85" s="35" t="s">
        <v>31</v>
      </c>
      <c r="E85" s="35" t="s">
        <v>166</v>
      </c>
      <c r="F85" s="35" t="s">
        <v>1640</v>
      </c>
      <c r="G85" s="55" t="s">
        <v>1724</v>
      </c>
    </row>
    <row r="86" spans="1:7" ht="12.5" x14ac:dyDescent="0.25">
      <c r="A86" s="54">
        <v>85</v>
      </c>
      <c r="B86" s="35" t="s">
        <v>1725</v>
      </c>
      <c r="C86" s="35" t="s">
        <v>16</v>
      </c>
      <c r="D86" s="35" t="s">
        <v>31</v>
      </c>
      <c r="E86" s="35" t="s">
        <v>64</v>
      </c>
      <c r="F86" s="35" t="s">
        <v>1573</v>
      </c>
      <c r="G86" s="55" t="s">
        <v>1726</v>
      </c>
    </row>
    <row r="87" spans="1:7" ht="12.5" x14ac:dyDescent="0.25">
      <c r="A87" s="54">
        <v>86</v>
      </c>
      <c r="B87" s="35" t="s">
        <v>1725</v>
      </c>
      <c r="C87" s="35" t="s">
        <v>50</v>
      </c>
      <c r="D87" s="35" t="s">
        <v>31</v>
      </c>
      <c r="E87" s="35" t="s">
        <v>150</v>
      </c>
      <c r="F87" s="35" t="s">
        <v>1624</v>
      </c>
      <c r="G87" s="55" t="s">
        <v>1727</v>
      </c>
    </row>
    <row r="88" spans="1:7" ht="12.5" x14ac:dyDescent="0.25">
      <c r="A88" s="54">
        <v>87</v>
      </c>
      <c r="B88" s="35" t="s">
        <v>1728</v>
      </c>
      <c r="C88" s="35" t="s">
        <v>16</v>
      </c>
      <c r="D88" s="35" t="s">
        <v>41</v>
      </c>
      <c r="E88" s="35" t="s">
        <v>14</v>
      </c>
      <c r="F88" s="35" t="s">
        <v>1581</v>
      </c>
      <c r="G88" s="55" t="s">
        <v>1729</v>
      </c>
    </row>
    <row r="89" spans="1:7" ht="12.5" x14ac:dyDescent="0.25">
      <c r="A89" s="54">
        <v>88</v>
      </c>
      <c r="B89" s="35" t="s">
        <v>1728</v>
      </c>
      <c r="C89" s="35" t="s">
        <v>50</v>
      </c>
      <c r="D89" s="35" t="s">
        <v>41</v>
      </c>
      <c r="E89" s="35" t="s">
        <v>49</v>
      </c>
      <c r="F89" s="35" t="s">
        <v>1659</v>
      </c>
      <c r="G89" s="55" t="s">
        <v>1730</v>
      </c>
    </row>
    <row r="90" spans="1:7" ht="12.5" x14ac:dyDescent="0.25">
      <c r="A90" s="54">
        <v>89</v>
      </c>
      <c r="B90" s="35" t="s">
        <v>1731</v>
      </c>
      <c r="C90" s="35" t="s">
        <v>16</v>
      </c>
      <c r="D90" s="35" t="s">
        <v>47</v>
      </c>
      <c r="E90" s="35" t="s">
        <v>14</v>
      </c>
      <c r="F90" s="35" t="s">
        <v>1609</v>
      </c>
      <c r="G90" s="55" t="s">
        <v>1732</v>
      </c>
    </row>
    <row r="91" spans="1:7" ht="12.5" x14ac:dyDescent="0.25">
      <c r="A91" s="54">
        <v>90</v>
      </c>
      <c r="B91" s="35" t="s">
        <v>1731</v>
      </c>
      <c r="C91" s="35" t="s">
        <v>50</v>
      </c>
      <c r="D91" s="35" t="s">
        <v>47</v>
      </c>
      <c r="E91" s="35" t="s">
        <v>147</v>
      </c>
      <c r="F91" s="35" t="s">
        <v>1592</v>
      </c>
      <c r="G91" s="55" t="s">
        <v>1733</v>
      </c>
    </row>
    <row r="92" spans="1:7" ht="12.5" x14ac:dyDescent="0.25">
      <c r="A92" s="54">
        <v>91</v>
      </c>
      <c r="B92" s="35" t="s">
        <v>1731</v>
      </c>
      <c r="C92" s="35" t="s">
        <v>144</v>
      </c>
      <c r="D92" s="35" t="s">
        <v>47</v>
      </c>
      <c r="E92" s="35" t="s">
        <v>147</v>
      </c>
      <c r="F92" s="35" t="s">
        <v>1656</v>
      </c>
      <c r="G92" s="55" t="s">
        <v>1734</v>
      </c>
    </row>
    <row r="93" spans="1:7" ht="12.5" x14ac:dyDescent="0.25">
      <c r="A93" s="54">
        <v>92</v>
      </c>
      <c r="B93" s="35" t="s">
        <v>1735</v>
      </c>
      <c r="C93" s="35" t="s">
        <v>16</v>
      </c>
      <c r="D93" s="35" t="s">
        <v>47</v>
      </c>
      <c r="E93" s="35" t="s">
        <v>173</v>
      </c>
      <c r="F93" s="35" t="s">
        <v>1710</v>
      </c>
      <c r="G93" s="55" t="s">
        <v>1736</v>
      </c>
    </row>
    <row r="94" spans="1:7" ht="12.5" x14ac:dyDescent="0.25">
      <c r="A94" s="54">
        <v>93</v>
      </c>
      <c r="B94" s="35" t="s">
        <v>1735</v>
      </c>
      <c r="C94" s="35" t="s">
        <v>50</v>
      </c>
      <c r="D94" s="35" t="s">
        <v>47</v>
      </c>
      <c r="E94" s="35" t="s">
        <v>150</v>
      </c>
      <c r="F94" s="35" t="s">
        <v>1560</v>
      </c>
      <c r="G94" s="55" t="s">
        <v>1737</v>
      </c>
    </row>
    <row r="95" spans="1:7" ht="12.5" x14ac:dyDescent="0.25">
      <c r="A95" s="54">
        <v>94</v>
      </c>
      <c r="B95" s="35" t="s">
        <v>1738</v>
      </c>
      <c r="C95" s="35" t="s">
        <v>16</v>
      </c>
      <c r="D95" s="35" t="s">
        <v>52</v>
      </c>
      <c r="E95" s="35" t="s">
        <v>64</v>
      </c>
      <c r="F95" s="35" t="s">
        <v>1560</v>
      </c>
      <c r="G95" s="55" t="s">
        <v>1739</v>
      </c>
    </row>
    <row r="96" spans="1:7" ht="12.5" x14ac:dyDescent="0.25">
      <c r="A96" s="54">
        <v>95</v>
      </c>
      <c r="B96" s="35" t="s">
        <v>1738</v>
      </c>
      <c r="C96" s="35" t="s">
        <v>50</v>
      </c>
      <c r="D96" s="35" t="s">
        <v>52</v>
      </c>
      <c r="E96" s="35" t="s">
        <v>150</v>
      </c>
      <c r="F96" s="35" t="s">
        <v>1587</v>
      </c>
      <c r="G96" s="55" t="s">
        <v>1740</v>
      </c>
    </row>
    <row r="97" spans="1:7" ht="12.5" x14ac:dyDescent="0.25">
      <c r="A97" s="54">
        <v>96</v>
      </c>
      <c r="B97" s="35" t="s">
        <v>1738</v>
      </c>
      <c r="C97" s="35" t="s">
        <v>144</v>
      </c>
      <c r="D97" s="35" t="s">
        <v>52</v>
      </c>
      <c r="E97" s="35" t="s">
        <v>150</v>
      </c>
      <c r="F97" s="35" t="s">
        <v>1741</v>
      </c>
      <c r="G97" s="55" t="s">
        <v>1742</v>
      </c>
    </row>
    <row r="98" spans="1:7" ht="12.5" x14ac:dyDescent="0.25">
      <c r="A98" s="54">
        <v>97</v>
      </c>
      <c r="B98" s="35" t="s">
        <v>1743</v>
      </c>
      <c r="C98" s="35" t="s">
        <v>50</v>
      </c>
      <c r="D98" s="35" t="s">
        <v>13</v>
      </c>
      <c r="E98" s="35" t="s">
        <v>92</v>
      </c>
      <c r="F98" s="35" t="s">
        <v>1636</v>
      </c>
      <c r="G98" s="55" t="s">
        <v>1744</v>
      </c>
    </row>
    <row r="99" spans="1:7" ht="12.5" x14ac:dyDescent="0.25">
      <c r="A99" s="54">
        <v>98</v>
      </c>
      <c r="B99" s="35" t="s">
        <v>1745</v>
      </c>
      <c r="C99" s="35" t="s">
        <v>50</v>
      </c>
      <c r="D99" s="35" t="s">
        <v>13</v>
      </c>
      <c r="E99" s="35" t="s">
        <v>92</v>
      </c>
      <c r="F99" s="35" t="s">
        <v>1640</v>
      </c>
      <c r="G99" s="55" t="s">
        <v>1746</v>
      </c>
    </row>
    <row r="100" spans="1:7" ht="12.5" x14ac:dyDescent="0.25">
      <c r="A100" s="54">
        <v>99</v>
      </c>
      <c r="B100" s="35" t="s">
        <v>1747</v>
      </c>
      <c r="C100" s="35" t="s">
        <v>16</v>
      </c>
      <c r="D100" s="35" t="s">
        <v>13</v>
      </c>
      <c r="E100" s="35" t="s">
        <v>14</v>
      </c>
      <c r="F100" s="35" t="s">
        <v>1587</v>
      </c>
      <c r="G100" s="55" t="s">
        <v>1748</v>
      </c>
    </row>
    <row r="101" spans="1:7" ht="12.5" x14ac:dyDescent="0.25">
      <c r="A101" s="54">
        <v>100</v>
      </c>
      <c r="B101" s="35" t="s">
        <v>1642</v>
      </c>
      <c r="C101" s="35" t="s">
        <v>155</v>
      </c>
      <c r="D101" s="35" t="s">
        <v>13</v>
      </c>
      <c r="E101" s="35" t="s">
        <v>96</v>
      </c>
      <c r="F101" s="35" t="s">
        <v>1702</v>
      </c>
      <c r="G101" s="55" t="s">
        <v>1749</v>
      </c>
    </row>
    <row r="102" spans="1:7" ht="12.5" x14ac:dyDescent="0.25">
      <c r="A102" s="54">
        <v>101</v>
      </c>
      <c r="B102" s="35" t="s">
        <v>1743</v>
      </c>
      <c r="C102" s="35" t="s">
        <v>16</v>
      </c>
      <c r="D102" s="35" t="s">
        <v>13</v>
      </c>
      <c r="E102" s="35" t="s">
        <v>101</v>
      </c>
      <c r="F102" s="35" t="s">
        <v>1584</v>
      </c>
      <c r="G102" s="55" t="s">
        <v>1750</v>
      </c>
    </row>
    <row r="103" spans="1:7" ht="12.5" x14ac:dyDescent="0.25">
      <c r="A103" s="54">
        <v>102</v>
      </c>
      <c r="B103" s="35" t="s">
        <v>1745</v>
      </c>
      <c r="C103" s="35" t="s">
        <v>16</v>
      </c>
      <c r="D103" s="35" t="s">
        <v>13</v>
      </c>
      <c r="E103" s="35" t="s">
        <v>101</v>
      </c>
      <c r="F103" s="35" t="s">
        <v>1606</v>
      </c>
      <c r="G103" s="55" t="s">
        <v>1751</v>
      </c>
    </row>
    <row r="104" spans="1:7" ht="12.5" x14ac:dyDescent="0.25">
      <c r="A104" s="54">
        <v>103</v>
      </c>
      <c r="B104" s="35" t="s">
        <v>1752</v>
      </c>
      <c r="C104" s="35" t="s">
        <v>16</v>
      </c>
      <c r="D104" s="35" t="s">
        <v>31</v>
      </c>
      <c r="E104" s="35" t="s">
        <v>96</v>
      </c>
      <c r="F104" s="35" t="s">
        <v>1702</v>
      </c>
      <c r="G104" s="55" t="s">
        <v>1753</v>
      </c>
    </row>
    <row r="105" spans="1:7" ht="12.5" x14ac:dyDescent="0.25">
      <c r="A105" s="54">
        <v>104</v>
      </c>
      <c r="B105" s="35" t="s">
        <v>1642</v>
      </c>
      <c r="C105" s="35" t="s">
        <v>144</v>
      </c>
      <c r="D105" s="35" t="s">
        <v>31</v>
      </c>
      <c r="E105" s="35" t="s">
        <v>49</v>
      </c>
      <c r="F105" s="35" t="s">
        <v>1557</v>
      </c>
      <c r="G105" s="55" t="s">
        <v>1754</v>
      </c>
    </row>
    <row r="106" spans="1:7" ht="12.5" x14ac:dyDescent="0.25">
      <c r="A106" s="54">
        <v>105</v>
      </c>
      <c r="B106" s="35" t="s">
        <v>1755</v>
      </c>
      <c r="C106" s="35" t="s">
        <v>50</v>
      </c>
      <c r="D106" s="35" t="s">
        <v>41</v>
      </c>
      <c r="E106" s="35" t="s">
        <v>92</v>
      </c>
      <c r="F106" s="35" t="s">
        <v>1576</v>
      </c>
      <c r="G106" s="55" t="s">
        <v>1756</v>
      </c>
    </row>
    <row r="107" spans="1:7" ht="12.5" x14ac:dyDescent="0.25">
      <c r="A107" s="54">
        <v>106</v>
      </c>
      <c r="B107" s="35" t="s">
        <v>1755</v>
      </c>
      <c r="C107" s="35" t="s">
        <v>16</v>
      </c>
      <c r="D107" s="35" t="s">
        <v>41</v>
      </c>
      <c r="E107" s="35" t="s">
        <v>64</v>
      </c>
      <c r="F107" s="35" t="s">
        <v>1640</v>
      </c>
      <c r="G107" s="55" t="s">
        <v>1757</v>
      </c>
    </row>
    <row r="108" spans="1:7" ht="12.5" x14ac:dyDescent="0.25">
      <c r="A108" s="54">
        <v>107</v>
      </c>
      <c r="B108" s="35" t="s">
        <v>1752</v>
      </c>
      <c r="C108" s="35" t="s">
        <v>50</v>
      </c>
      <c r="D108" s="35" t="s">
        <v>47</v>
      </c>
      <c r="E108" s="35" t="s">
        <v>92</v>
      </c>
      <c r="F108" s="35" t="s">
        <v>1686</v>
      </c>
      <c r="G108" s="55" t="s">
        <v>1758</v>
      </c>
    </row>
    <row r="109" spans="1:7" ht="12.5" x14ac:dyDescent="0.25">
      <c r="A109" s="54">
        <v>108</v>
      </c>
      <c r="B109" s="35" t="s">
        <v>1759</v>
      </c>
      <c r="C109" s="35" t="s">
        <v>16</v>
      </c>
      <c r="D109" s="35" t="s">
        <v>52</v>
      </c>
      <c r="E109" s="35" t="s">
        <v>191</v>
      </c>
      <c r="F109" s="35" t="s">
        <v>1644</v>
      </c>
      <c r="G109" s="55" t="s">
        <v>1760</v>
      </c>
    </row>
    <row r="110" spans="1:7" ht="12.5" x14ac:dyDescent="0.25">
      <c r="A110" s="54">
        <v>109</v>
      </c>
      <c r="B110" s="35" t="s">
        <v>1761</v>
      </c>
      <c r="C110" s="35" t="s">
        <v>16</v>
      </c>
      <c r="D110" s="35" t="s">
        <v>52</v>
      </c>
      <c r="E110" s="35" t="s">
        <v>64</v>
      </c>
      <c r="F110" s="35" t="s">
        <v>1678</v>
      </c>
      <c r="G110" s="55" t="s">
        <v>1762</v>
      </c>
    </row>
    <row r="111" spans="1:7" ht="12.5" x14ac:dyDescent="0.25">
      <c r="A111" s="54">
        <v>110</v>
      </c>
      <c r="B111" s="35" t="s">
        <v>1759</v>
      </c>
      <c r="C111" s="35" t="s">
        <v>50</v>
      </c>
      <c r="D111" s="35" t="s">
        <v>52</v>
      </c>
      <c r="E111" s="35" t="s">
        <v>49</v>
      </c>
      <c r="F111" s="35" t="s">
        <v>1557</v>
      </c>
      <c r="G111" s="55" t="s">
        <v>1763</v>
      </c>
    </row>
    <row r="112" spans="1:7" ht="12.5" x14ac:dyDescent="0.25">
      <c r="A112" s="54">
        <v>111</v>
      </c>
      <c r="B112" s="35" t="s">
        <v>1761</v>
      </c>
      <c r="C112" s="35" t="s">
        <v>50</v>
      </c>
      <c r="D112" s="35" t="s">
        <v>52</v>
      </c>
      <c r="E112" s="35" t="s">
        <v>138</v>
      </c>
      <c r="F112" s="35" t="s">
        <v>1563</v>
      </c>
      <c r="G112" s="55" t="s">
        <v>1764</v>
      </c>
    </row>
    <row r="113" spans="1:7" ht="12.5" x14ac:dyDescent="0.25">
      <c r="A113" s="54">
        <v>112</v>
      </c>
      <c r="B113" s="35" t="s">
        <v>1765</v>
      </c>
      <c r="C113" s="35" t="s">
        <v>50</v>
      </c>
      <c r="D113" s="35" t="s">
        <v>195</v>
      </c>
      <c r="E113" s="35" t="s">
        <v>132</v>
      </c>
      <c r="F113" s="35" t="s">
        <v>1704</v>
      </c>
      <c r="G113" s="55" t="s">
        <v>1766</v>
      </c>
    </row>
    <row r="114" spans="1:7" ht="12.5" x14ac:dyDescent="0.25">
      <c r="A114" s="54">
        <v>113</v>
      </c>
      <c r="B114" s="35" t="s">
        <v>1767</v>
      </c>
      <c r="C114" s="35" t="s">
        <v>155</v>
      </c>
      <c r="D114" s="35" t="s">
        <v>41</v>
      </c>
      <c r="E114" s="35" t="s">
        <v>198</v>
      </c>
      <c r="F114" s="35" t="s">
        <v>1702</v>
      </c>
      <c r="G114" s="55" t="s">
        <v>1768</v>
      </c>
    </row>
    <row r="115" spans="1:7" ht="12.5" x14ac:dyDescent="0.25">
      <c r="A115" s="54">
        <v>114</v>
      </c>
      <c r="B115" s="35" t="s">
        <v>1769</v>
      </c>
      <c r="C115" s="35" t="s">
        <v>155</v>
      </c>
      <c r="D115" s="35" t="s">
        <v>47</v>
      </c>
      <c r="E115" s="35" t="s">
        <v>202</v>
      </c>
      <c r="F115" s="35" t="s">
        <v>1592</v>
      </c>
      <c r="G115" s="55" t="s">
        <v>1770</v>
      </c>
    </row>
    <row r="116" spans="1:7" ht="12.5" x14ac:dyDescent="0.25">
      <c r="A116" s="54">
        <v>115</v>
      </c>
      <c r="B116" s="35" t="s">
        <v>1771</v>
      </c>
      <c r="C116" s="35" t="s">
        <v>155</v>
      </c>
      <c r="D116" s="35" t="s">
        <v>47</v>
      </c>
      <c r="E116" s="35" t="s">
        <v>202</v>
      </c>
      <c r="F116" s="35" t="s">
        <v>1640</v>
      </c>
      <c r="G116" s="55" t="s">
        <v>1772</v>
      </c>
    </row>
    <row r="117" spans="1:7" ht="12.5" x14ac:dyDescent="0.25">
      <c r="A117" s="54">
        <v>116</v>
      </c>
      <c r="B117" s="35" t="s">
        <v>1773</v>
      </c>
      <c r="C117" s="35" t="s">
        <v>16</v>
      </c>
      <c r="D117" s="35" t="s">
        <v>47</v>
      </c>
      <c r="E117" s="35" t="s">
        <v>202</v>
      </c>
      <c r="F117" s="35" t="s">
        <v>1686</v>
      </c>
      <c r="G117" s="55" t="s">
        <v>1774</v>
      </c>
    </row>
    <row r="118" spans="1:7" ht="12.5" x14ac:dyDescent="0.25">
      <c r="A118" s="54">
        <v>117</v>
      </c>
      <c r="B118" s="35" t="s">
        <v>1767</v>
      </c>
      <c r="C118" s="35" t="s">
        <v>144</v>
      </c>
      <c r="D118" s="35" t="s">
        <v>52</v>
      </c>
      <c r="E118" s="35" t="s">
        <v>206</v>
      </c>
      <c r="F118" s="35" t="s">
        <v>1570</v>
      </c>
      <c r="G118" s="55" t="s">
        <v>1775</v>
      </c>
    </row>
    <row r="119" spans="1:7" ht="12.5" x14ac:dyDescent="0.25">
      <c r="A119" s="54">
        <v>118</v>
      </c>
      <c r="B119" s="35" t="s">
        <v>1776</v>
      </c>
      <c r="C119" s="35" t="s">
        <v>50</v>
      </c>
      <c r="D119" s="35" t="s">
        <v>195</v>
      </c>
      <c r="E119" s="35" t="s">
        <v>92</v>
      </c>
      <c r="F119" s="35" t="s">
        <v>1573</v>
      </c>
      <c r="G119" s="55" t="s">
        <v>1777</v>
      </c>
    </row>
    <row r="120" spans="1:7" ht="12.5" x14ac:dyDescent="0.25">
      <c r="A120" s="54">
        <v>119</v>
      </c>
      <c r="B120" s="35" t="s">
        <v>1778</v>
      </c>
      <c r="C120" s="35" t="s">
        <v>50</v>
      </c>
      <c r="D120" s="35" t="s">
        <v>195</v>
      </c>
      <c r="E120" s="35" t="s">
        <v>147</v>
      </c>
      <c r="F120" s="35" t="s">
        <v>1715</v>
      </c>
      <c r="G120" s="55" t="s">
        <v>1779</v>
      </c>
    </row>
    <row r="121" spans="1:7" ht="12.5" x14ac:dyDescent="0.25">
      <c r="A121" s="54">
        <v>120</v>
      </c>
      <c r="B121" s="35" t="s">
        <v>1769</v>
      </c>
      <c r="C121" s="35" t="s">
        <v>144</v>
      </c>
      <c r="D121" s="35" t="s">
        <v>195</v>
      </c>
      <c r="E121" s="35" t="s">
        <v>49</v>
      </c>
      <c r="F121" s="35" t="s">
        <v>1675</v>
      </c>
      <c r="G121" s="55" t="s">
        <v>1780</v>
      </c>
    </row>
    <row r="122" spans="1:7" ht="12.5" x14ac:dyDescent="0.25">
      <c r="A122" s="54">
        <v>121</v>
      </c>
      <c r="B122" s="35" t="s">
        <v>1771</v>
      </c>
      <c r="C122" s="35" t="s">
        <v>144</v>
      </c>
      <c r="D122" s="35" t="s">
        <v>195</v>
      </c>
      <c r="E122" s="35" t="s">
        <v>49</v>
      </c>
      <c r="F122" s="35" t="s">
        <v>1686</v>
      </c>
      <c r="G122" s="55" t="s">
        <v>1781</v>
      </c>
    </row>
    <row r="123" spans="1:7" ht="12.5" x14ac:dyDescent="0.25">
      <c r="A123" s="54">
        <v>122</v>
      </c>
      <c r="B123" s="35" t="s">
        <v>1773</v>
      </c>
      <c r="C123" s="35" t="s">
        <v>144</v>
      </c>
      <c r="D123" s="35" t="s">
        <v>195</v>
      </c>
      <c r="E123" s="35" t="s">
        <v>49</v>
      </c>
      <c r="F123" s="35" t="s">
        <v>1615</v>
      </c>
      <c r="G123" s="55" t="s">
        <v>1782</v>
      </c>
    </row>
    <row r="124" spans="1:7" ht="12.5" x14ac:dyDescent="0.25">
      <c r="A124" s="54">
        <v>123</v>
      </c>
      <c r="B124" s="35" t="s">
        <v>1776</v>
      </c>
      <c r="C124" s="35" t="s">
        <v>16</v>
      </c>
      <c r="D124" s="35" t="s">
        <v>195</v>
      </c>
      <c r="E124" s="35" t="s">
        <v>210</v>
      </c>
      <c r="F124" s="35" t="s">
        <v>1640</v>
      </c>
      <c r="G124" s="55" t="s">
        <v>1783</v>
      </c>
    </row>
    <row r="125" spans="1:7" ht="12.5" x14ac:dyDescent="0.25">
      <c r="A125" s="54">
        <v>124</v>
      </c>
      <c r="B125" s="35" t="s">
        <v>1778</v>
      </c>
      <c r="C125" s="35" t="s">
        <v>16</v>
      </c>
      <c r="D125" s="35" t="s">
        <v>195</v>
      </c>
      <c r="E125" s="35" t="s">
        <v>211</v>
      </c>
      <c r="F125" s="35" t="s">
        <v>1710</v>
      </c>
      <c r="G125" s="55" t="s">
        <v>1784</v>
      </c>
    </row>
    <row r="126" spans="1:7" ht="12.5" x14ac:dyDescent="0.25">
      <c r="A126" s="54">
        <v>125</v>
      </c>
      <c r="B126" s="35" t="s">
        <v>1785</v>
      </c>
      <c r="C126" s="35" t="s">
        <v>16</v>
      </c>
      <c r="D126" s="35" t="s">
        <v>13</v>
      </c>
      <c r="E126" s="35" t="s">
        <v>14</v>
      </c>
      <c r="F126" s="35" t="s">
        <v>1615</v>
      </c>
      <c r="G126" s="55" t="s">
        <v>1786</v>
      </c>
    </row>
    <row r="127" spans="1:7" ht="12.5" x14ac:dyDescent="0.25">
      <c r="A127" s="54">
        <v>126</v>
      </c>
      <c r="B127" s="35" t="s">
        <v>1787</v>
      </c>
      <c r="C127" s="35" t="s">
        <v>16</v>
      </c>
      <c r="D127" s="35" t="s">
        <v>13</v>
      </c>
      <c r="E127" s="35" t="s">
        <v>25</v>
      </c>
      <c r="F127" s="35" t="s">
        <v>1615</v>
      </c>
      <c r="G127" s="55" t="s">
        <v>1788</v>
      </c>
    </row>
    <row r="128" spans="1:7" ht="12.5" x14ac:dyDescent="0.25">
      <c r="A128" s="54">
        <v>127</v>
      </c>
      <c r="B128" s="35" t="s">
        <v>1787</v>
      </c>
      <c r="C128" s="35" t="s">
        <v>50</v>
      </c>
      <c r="D128" s="35" t="s">
        <v>13</v>
      </c>
      <c r="E128" s="35" t="s">
        <v>49</v>
      </c>
      <c r="F128" s="35" t="s">
        <v>1615</v>
      </c>
      <c r="G128" s="55" t="s">
        <v>1789</v>
      </c>
    </row>
    <row r="129" spans="1:7" ht="12.5" x14ac:dyDescent="0.25">
      <c r="A129" s="54">
        <v>128</v>
      </c>
      <c r="B129" s="35" t="s">
        <v>1790</v>
      </c>
      <c r="C129" s="35" t="s">
        <v>16</v>
      </c>
      <c r="D129" s="35" t="s">
        <v>31</v>
      </c>
      <c r="E129" s="35" t="s">
        <v>14</v>
      </c>
      <c r="F129" s="35" t="s">
        <v>1615</v>
      </c>
      <c r="G129" s="55" t="s">
        <v>1791</v>
      </c>
    </row>
    <row r="130" spans="1:7" ht="12.5" x14ac:dyDescent="0.25">
      <c r="A130" s="54">
        <v>129</v>
      </c>
      <c r="B130" s="35" t="s">
        <v>1790</v>
      </c>
      <c r="C130" s="35" t="s">
        <v>50</v>
      </c>
      <c r="D130" s="35" t="s">
        <v>31</v>
      </c>
      <c r="E130" s="35" t="s">
        <v>147</v>
      </c>
      <c r="F130" s="35" t="s">
        <v>1615</v>
      </c>
      <c r="G130" s="55" t="s">
        <v>1792</v>
      </c>
    </row>
    <row r="131" spans="1:7" ht="12.5" x14ac:dyDescent="0.25">
      <c r="A131" s="54">
        <v>130</v>
      </c>
      <c r="B131" s="35" t="s">
        <v>1793</v>
      </c>
      <c r="C131" s="35" t="s">
        <v>16</v>
      </c>
      <c r="D131" s="35" t="s">
        <v>31</v>
      </c>
      <c r="E131" s="35" t="s">
        <v>221</v>
      </c>
      <c r="F131" s="35" t="s">
        <v>1615</v>
      </c>
      <c r="G131" s="55" t="s">
        <v>1794</v>
      </c>
    </row>
    <row r="132" spans="1:7" ht="12.5" x14ac:dyDescent="0.25">
      <c r="A132" s="54">
        <v>131</v>
      </c>
      <c r="B132" s="35" t="s">
        <v>1793</v>
      </c>
      <c r="C132" s="35" t="s">
        <v>50</v>
      </c>
      <c r="D132" s="35" t="s">
        <v>31</v>
      </c>
      <c r="E132" s="35" t="s">
        <v>224</v>
      </c>
      <c r="F132" s="35" t="s">
        <v>1615</v>
      </c>
      <c r="G132" s="55" t="s">
        <v>1795</v>
      </c>
    </row>
    <row r="133" spans="1:7" ht="12.5" x14ac:dyDescent="0.25">
      <c r="A133" s="54">
        <v>132</v>
      </c>
      <c r="B133" s="35" t="s">
        <v>1796</v>
      </c>
      <c r="C133" s="35" t="s">
        <v>16</v>
      </c>
      <c r="D133" s="35" t="s">
        <v>41</v>
      </c>
      <c r="E133" s="35" t="s">
        <v>14</v>
      </c>
      <c r="F133" s="35" t="s">
        <v>1615</v>
      </c>
      <c r="G133" s="55" t="s">
        <v>1797</v>
      </c>
    </row>
    <row r="134" spans="1:7" ht="12.5" x14ac:dyDescent="0.25">
      <c r="A134" s="54">
        <v>133</v>
      </c>
      <c r="B134" s="35" t="s">
        <v>1798</v>
      </c>
      <c r="C134" s="35" t="s">
        <v>16</v>
      </c>
      <c r="D134" s="35" t="s">
        <v>41</v>
      </c>
      <c r="E134" s="35" t="s">
        <v>221</v>
      </c>
      <c r="F134" s="35" t="s">
        <v>1615</v>
      </c>
      <c r="G134" s="55" t="s">
        <v>1799</v>
      </c>
    </row>
    <row r="135" spans="1:7" ht="12.5" x14ac:dyDescent="0.25">
      <c r="A135" s="54">
        <v>134</v>
      </c>
      <c r="B135" s="35" t="s">
        <v>1798</v>
      </c>
      <c r="C135" s="35" t="s">
        <v>50</v>
      </c>
      <c r="D135" s="35" t="s">
        <v>41</v>
      </c>
      <c r="E135" s="35" t="s">
        <v>224</v>
      </c>
      <c r="F135" s="35" t="s">
        <v>1615</v>
      </c>
      <c r="G135" s="55" t="s">
        <v>1800</v>
      </c>
    </row>
    <row r="136" spans="1:7" ht="12.5" x14ac:dyDescent="0.25">
      <c r="A136" s="54">
        <v>135</v>
      </c>
      <c r="B136" s="35" t="s">
        <v>1801</v>
      </c>
      <c r="C136" s="35" t="s">
        <v>16</v>
      </c>
      <c r="D136" s="35" t="s">
        <v>47</v>
      </c>
      <c r="E136" s="35" t="s">
        <v>14</v>
      </c>
      <c r="F136" s="35" t="s">
        <v>1615</v>
      </c>
      <c r="G136" s="55" t="s">
        <v>1802</v>
      </c>
    </row>
    <row r="137" spans="1:7" ht="12.5" x14ac:dyDescent="0.25">
      <c r="A137" s="54">
        <v>136</v>
      </c>
      <c r="B137" s="35" t="s">
        <v>1803</v>
      </c>
      <c r="C137" s="35" t="s">
        <v>50</v>
      </c>
      <c r="D137" s="35" t="s">
        <v>47</v>
      </c>
      <c r="E137" s="35" t="s">
        <v>231</v>
      </c>
      <c r="F137" s="35" t="s">
        <v>1615</v>
      </c>
      <c r="G137" s="55" t="s">
        <v>1804</v>
      </c>
    </row>
    <row r="138" spans="1:7" ht="12.5" x14ac:dyDescent="0.25">
      <c r="A138" s="54">
        <v>137</v>
      </c>
      <c r="B138" s="35" t="s">
        <v>1805</v>
      </c>
      <c r="C138" s="35" t="s">
        <v>16</v>
      </c>
      <c r="D138" s="35" t="s">
        <v>52</v>
      </c>
      <c r="E138" s="35" t="s">
        <v>14</v>
      </c>
      <c r="F138" s="35" t="s">
        <v>1615</v>
      </c>
      <c r="G138" s="55" t="s">
        <v>1806</v>
      </c>
    </row>
    <row r="139" spans="1:7" ht="12.5" x14ac:dyDescent="0.25">
      <c r="A139" s="54">
        <v>138</v>
      </c>
      <c r="B139" s="35" t="s">
        <v>1807</v>
      </c>
      <c r="C139" s="35" t="s">
        <v>16</v>
      </c>
      <c r="D139" s="35" t="s">
        <v>52</v>
      </c>
      <c r="E139" s="35" t="s">
        <v>235</v>
      </c>
      <c r="F139" s="35" t="s">
        <v>1584</v>
      </c>
      <c r="G139" s="55" t="s">
        <v>1808</v>
      </c>
    </row>
    <row r="140" spans="1:7" ht="12.5" x14ac:dyDescent="0.25">
      <c r="A140" s="54">
        <v>139</v>
      </c>
      <c r="B140" s="35" t="s">
        <v>1807</v>
      </c>
      <c r="C140" s="35" t="s">
        <v>50</v>
      </c>
      <c r="D140" s="35" t="s">
        <v>52</v>
      </c>
      <c r="E140" s="35" t="s">
        <v>237</v>
      </c>
      <c r="F140" s="35" t="s">
        <v>1615</v>
      </c>
      <c r="G140" s="55" t="s">
        <v>1809</v>
      </c>
    </row>
    <row r="141" spans="1:7" ht="12.5" x14ac:dyDescent="0.25">
      <c r="A141" s="54">
        <v>140</v>
      </c>
      <c r="B141" s="35" t="s">
        <v>1810</v>
      </c>
      <c r="C141" s="35" t="s">
        <v>16</v>
      </c>
      <c r="D141" s="35" t="s">
        <v>13</v>
      </c>
      <c r="E141" s="35" t="s">
        <v>239</v>
      </c>
      <c r="F141" s="35" t="s">
        <v>1811</v>
      </c>
      <c r="G141" s="55" t="s">
        <v>1812</v>
      </c>
    </row>
    <row r="142" spans="1:7" ht="12.5" x14ac:dyDescent="0.25">
      <c r="A142" s="54">
        <v>141</v>
      </c>
      <c r="B142" s="35" t="s">
        <v>1810</v>
      </c>
      <c r="C142" s="35" t="s">
        <v>50</v>
      </c>
      <c r="D142" s="35" t="s">
        <v>13</v>
      </c>
      <c r="E142" s="35" t="s">
        <v>19</v>
      </c>
      <c r="F142" s="35" t="s">
        <v>1813</v>
      </c>
      <c r="G142" s="55" t="s">
        <v>1814</v>
      </c>
    </row>
    <row r="143" spans="1:7" ht="12.5" x14ac:dyDescent="0.25">
      <c r="A143" s="54">
        <v>142</v>
      </c>
      <c r="B143" s="35" t="s">
        <v>1815</v>
      </c>
      <c r="C143" s="35" t="s">
        <v>16</v>
      </c>
      <c r="D143" s="35" t="s">
        <v>13</v>
      </c>
      <c r="E143" s="35" t="s">
        <v>243</v>
      </c>
      <c r="F143" s="35" t="s">
        <v>1816</v>
      </c>
      <c r="G143" s="55" t="s">
        <v>1817</v>
      </c>
    </row>
    <row r="144" spans="1:7" ht="12.5" x14ac:dyDescent="0.25">
      <c r="A144" s="54">
        <v>143</v>
      </c>
      <c r="B144" s="35" t="s">
        <v>1818</v>
      </c>
      <c r="C144" s="35" t="s">
        <v>16</v>
      </c>
      <c r="D144" s="35" t="s">
        <v>13</v>
      </c>
      <c r="E144" s="35" t="s">
        <v>191</v>
      </c>
      <c r="F144" s="35" t="s">
        <v>1819</v>
      </c>
      <c r="G144" s="55" t="s">
        <v>1820</v>
      </c>
    </row>
    <row r="145" spans="1:7" ht="12.5" x14ac:dyDescent="0.25">
      <c r="A145" s="54">
        <v>144</v>
      </c>
      <c r="B145" s="35" t="s">
        <v>1821</v>
      </c>
      <c r="C145" s="35" t="s">
        <v>16</v>
      </c>
      <c r="D145" s="35" t="s">
        <v>13</v>
      </c>
      <c r="E145" s="35" t="s">
        <v>191</v>
      </c>
      <c r="F145" s="35" t="s">
        <v>1822</v>
      </c>
      <c r="G145" s="55" t="s">
        <v>1823</v>
      </c>
    </row>
    <row r="146" spans="1:7" ht="12.5" x14ac:dyDescent="0.25">
      <c r="A146" s="54">
        <v>145</v>
      </c>
      <c r="B146" s="35" t="s">
        <v>1824</v>
      </c>
      <c r="C146" s="35" t="s">
        <v>16</v>
      </c>
      <c r="D146" s="35" t="s">
        <v>13</v>
      </c>
      <c r="E146" s="35" t="s">
        <v>23</v>
      </c>
      <c r="F146" s="35" t="s">
        <v>1825</v>
      </c>
      <c r="G146" s="55" t="s">
        <v>1826</v>
      </c>
    </row>
    <row r="147" spans="1:7" ht="12.5" x14ac:dyDescent="0.25">
      <c r="A147" s="54">
        <v>146</v>
      </c>
      <c r="B147" s="35" t="s">
        <v>1827</v>
      </c>
      <c r="C147" s="35" t="s">
        <v>16</v>
      </c>
      <c r="D147" s="35" t="s">
        <v>13</v>
      </c>
      <c r="E147" s="35" t="s">
        <v>154</v>
      </c>
      <c r="F147" s="35" t="s">
        <v>1828</v>
      </c>
      <c r="G147" s="55" t="s">
        <v>1829</v>
      </c>
    </row>
    <row r="148" spans="1:7" ht="12.5" x14ac:dyDescent="0.25">
      <c r="A148" s="54">
        <v>147</v>
      </c>
      <c r="B148" s="35" t="s">
        <v>1830</v>
      </c>
      <c r="C148" s="35" t="s">
        <v>16</v>
      </c>
      <c r="D148" s="35" t="s">
        <v>13</v>
      </c>
      <c r="E148" s="35" t="s">
        <v>25</v>
      </c>
      <c r="F148" s="35" t="s">
        <v>1831</v>
      </c>
      <c r="G148" s="55" t="s">
        <v>1832</v>
      </c>
    </row>
    <row r="149" spans="1:7" ht="12.5" x14ac:dyDescent="0.25">
      <c r="A149" s="54">
        <v>148</v>
      </c>
      <c r="B149" s="35" t="s">
        <v>1815</v>
      </c>
      <c r="C149" s="35" t="s">
        <v>50</v>
      </c>
      <c r="D149" s="35" t="s">
        <v>13</v>
      </c>
      <c r="E149" s="35" t="s">
        <v>254</v>
      </c>
      <c r="F149" s="35" t="s">
        <v>1825</v>
      </c>
      <c r="G149" s="55" t="s">
        <v>1833</v>
      </c>
    </row>
    <row r="150" spans="1:7" ht="12.5" x14ac:dyDescent="0.25">
      <c r="A150" s="54">
        <v>149</v>
      </c>
      <c r="B150" s="35" t="s">
        <v>1818</v>
      </c>
      <c r="C150" s="35" t="s">
        <v>50</v>
      </c>
      <c r="D150" s="35" t="s">
        <v>13</v>
      </c>
      <c r="E150" s="35" t="s">
        <v>255</v>
      </c>
      <c r="F150" s="35" t="s">
        <v>1834</v>
      </c>
      <c r="G150" s="55" t="s">
        <v>1835</v>
      </c>
    </row>
    <row r="151" spans="1:7" ht="12.5" x14ac:dyDescent="0.25">
      <c r="A151" s="54">
        <v>150</v>
      </c>
      <c r="B151" s="35" t="s">
        <v>1836</v>
      </c>
      <c r="C151" s="35" t="s">
        <v>16</v>
      </c>
      <c r="D151" s="35" t="s">
        <v>13</v>
      </c>
      <c r="E151" s="35" t="s">
        <v>256</v>
      </c>
      <c r="F151" s="35" t="s">
        <v>1837</v>
      </c>
      <c r="G151" s="55" t="s">
        <v>1838</v>
      </c>
    </row>
    <row r="152" spans="1:7" ht="12.5" x14ac:dyDescent="0.25">
      <c r="A152" s="54">
        <v>151</v>
      </c>
      <c r="B152" s="35" t="s">
        <v>1830</v>
      </c>
      <c r="C152" s="35" t="s">
        <v>50</v>
      </c>
      <c r="D152" s="35" t="s">
        <v>13</v>
      </c>
      <c r="E152" s="35" t="s">
        <v>36</v>
      </c>
      <c r="F152" s="35" t="s">
        <v>1825</v>
      </c>
      <c r="G152" s="55" t="s">
        <v>1839</v>
      </c>
    </row>
    <row r="153" spans="1:7" ht="12.5" x14ac:dyDescent="0.25">
      <c r="A153" s="54">
        <v>152</v>
      </c>
      <c r="B153" s="35" t="s">
        <v>1824</v>
      </c>
      <c r="C153" s="35" t="s">
        <v>50</v>
      </c>
      <c r="D153" s="35" t="s">
        <v>13</v>
      </c>
      <c r="E153" s="35" t="s">
        <v>259</v>
      </c>
      <c r="F153" s="35" t="s">
        <v>1840</v>
      </c>
      <c r="G153" s="55" t="s">
        <v>1841</v>
      </c>
    </row>
    <row r="154" spans="1:7" ht="12.5" x14ac:dyDescent="0.25">
      <c r="A154" s="54">
        <v>153</v>
      </c>
      <c r="B154" s="35" t="s">
        <v>1827</v>
      </c>
      <c r="C154" s="35" t="s">
        <v>50</v>
      </c>
      <c r="D154" s="35" t="s">
        <v>13</v>
      </c>
      <c r="E154" s="35" t="s">
        <v>260</v>
      </c>
      <c r="F154" s="35" t="s">
        <v>1842</v>
      </c>
      <c r="G154" s="55" t="s">
        <v>1843</v>
      </c>
    </row>
    <row r="155" spans="1:7" ht="12.5" x14ac:dyDescent="0.25">
      <c r="A155" s="54">
        <v>154</v>
      </c>
      <c r="B155" s="35" t="s">
        <v>1844</v>
      </c>
      <c r="C155" s="35" t="s">
        <v>16</v>
      </c>
      <c r="D155" s="35" t="s">
        <v>31</v>
      </c>
      <c r="E155" s="35" t="s">
        <v>261</v>
      </c>
      <c r="F155" s="35" t="s">
        <v>1813</v>
      </c>
      <c r="G155" s="55" t="s">
        <v>1845</v>
      </c>
    </row>
    <row r="156" spans="1:7" ht="12.5" x14ac:dyDescent="0.25">
      <c r="A156" s="54">
        <v>155</v>
      </c>
      <c r="B156" s="35" t="s">
        <v>1846</v>
      </c>
      <c r="C156" s="35" t="s">
        <v>16</v>
      </c>
      <c r="D156" s="35" t="s">
        <v>31</v>
      </c>
      <c r="E156" s="35" t="s">
        <v>14</v>
      </c>
      <c r="F156" s="35" t="s">
        <v>1847</v>
      </c>
      <c r="G156" s="55" t="s">
        <v>1848</v>
      </c>
    </row>
    <row r="157" spans="1:7" ht="12.5" x14ac:dyDescent="0.25">
      <c r="A157" s="54">
        <v>156</v>
      </c>
      <c r="B157" s="35" t="s">
        <v>1849</v>
      </c>
      <c r="C157" s="35" t="s">
        <v>16</v>
      </c>
      <c r="D157" s="35" t="s">
        <v>31</v>
      </c>
      <c r="E157" s="35" t="s">
        <v>19</v>
      </c>
      <c r="F157" s="35" t="s">
        <v>1850</v>
      </c>
      <c r="G157" s="55" t="s">
        <v>1851</v>
      </c>
    </row>
    <row r="158" spans="1:7" ht="12.5" x14ac:dyDescent="0.25">
      <c r="A158" s="54">
        <v>157</v>
      </c>
      <c r="B158" s="35" t="s">
        <v>1852</v>
      </c>
      <c r="C158" s="35" t="s">
        <v>16</v>
      </c>
      <c r="D158" s="35" t="s">
        <v>31</v>
      </c>
      <c r="E158" s="35" t="s">
        <v>268</v>
      </c>
      <c r="F158" s="35" t="s">
        <v>1847</v>
      </c>
      <c r="G158" s="55" t="s">
        <v>1853</v>
      </c>
    </row>
    <row r="159" spans="1:7" ht="12.5" x14ac:dyDescent="0.25">
      <c r="A159" s="54">
        <v>158</v>
      </c>
      <c r="B159" s="35" t="s">
        <v>1854</v>
      </c>
      <c r="C159" s="35" t="s">
        <v>16</v>
      </c>
      <c r="D159" s="35" t="s">
        <v>31</v>
      </c>
      <c r="E159" s="35" t="s">
        <v>271</v>
      </c>
      <c r="F159" s="35" t="s">
        <v>1855</v>
      </c>
      <c r="G159" s="55" t="s">
        <v>1856</v>
      </c>
    </row>
    <row r="160" spans="1:7" ht="12.5" x14ac:dyDescent="0.25">
      <c r="A160" s="54">
        <v>159</v>
      </c>
      <c r="B160" s="35" t="s">
        <v>1844</v>
      </c>
      <c r="C160" s="35" t="s">
        <v>50</v>
      </c>
      <c r="D160" s="35" t="s">
        <v>31</v>
      </c>
      <c r="E160" s="35" t="s">
        <v>23</v>
      </c>
      <c r="F160" s="35" t="s">
        <v>1857</v>
      </c>
      <c r="G160" s="55" t="s">
        <v>1858</v>
      </c>
    </row>
    <row r="161" spans="1:7" ht="12.5" x14ac:dyDescent="0.25">
      <c r="A161" s="54">
        <v>160</v>
      </c>
      <c r="B161" s="35" t="s">
        <v>1859</v>
      </c>
      <c r="C161" s="35" t="s">
        <v>16</v>
      </c>
      <c r="D161" s="35" t="s">
        <v>31</v>
      </c>
      <c r="E161" s="35" t="s">
        <v>23</v>
      </c>
      <c r="F161" s="35" t="s">
        <v>1860</v>
      </c>
      <c r="G161" s="55" t="s">
        <v>1861</v>
      </c>
    </row>
    <row r="162" spans="1:7" ht="12.5" x14ac:dyDescent="0.25">
      <c r="A162" s="54">
        <v>161</v>
      </c>
      <c r="B162" s="35" t="s">
        <v>1862</v>
      </c>
      <c r="C162" s="35" t="s">
        <v>16</v>
      </c>
      <c r="D162" s="35" t="s">
        <v>31</v>
      </c>
      <c r="E162" s="35" t="s">
        <v>276</v>
      </c>
      <c r="F162" s="35" t="s">
        <v>1825</v>
      </c>
      <c r="G162" s="55" t="s">
        <v>1863</v>
      </c>
    </row>
    <row r="163" spans="1:7" ht="12.5" x14ac:dyDescent="0.25">
      <c r="A163" s="54">
        <v>162</v>
      </c>
      <c r="B163" s="35" t="s">
        <v>1864</v>
      </c>
      <c r="C163" s="35" t="s">
        <v>50</v>
      </c>
      <c r="D163" s="35" t="s">
        <v>31</v>
      </c>
      <c r="E163" s="35" t="s">
        <v>279</v>
      </c>
      <c r="F163" s="35" t="s">
        <v>1865</v>
      </c>
      <c r="G163" s="55" t="s">
        <v>1866</v>
      </c>
    </row>
    <row r="164" spans="1:7" ht="12.5" x14ac:dyDescent="0.25">
      <c r="A164" s="54">
        <v>163</v>
      </c>
      <c r="B164" s="35" t="s">
        <v>1867</v>
      </c>
      <c r="C164" s="35" t="s">
        <v>16</v>
      </c>
      <c r="D164" s="35" t="s">
        <v>31</v>
      </c>
      <c r="E164" s="35" t="s">
        <v>281</v>
      </c>
      <c r="F164" s="35" t="s">
        <v>1865</v>
      </c>
      <c r="G164" s="55" t="s">
        <v>1868</v>
      </c>
    </row>
    <row r="165" spans="1:7" ht="12.5" x14ac:dyDescent="0.25">
      <c r="A165" s="54">
        <v>164</v>
      </c>
      <c r="B165" s="35" t="s">
        <v>1846</v>
      </c>
      <c r="C165" s="35" t="s">
        <v>50</v>
      </c>
      <c r="D165" s="35" t="s">
        <v>31</v>
      </c>
      <c r="E165" s="35" t="s">
        <v>283</v>
      </c>
      <c r="F165" s="35" t="s">
        <v>1869</v>
      </c>
      <c r="G165" s="55" t="s">
        <v>1870</v>
      </c>
    </row>
    <row r="166" spans="1:7" ht="12.5" x14ac:dyDescent="0.25">
      <c r="A166" s="54">
        <v>165</v>
      </c>
      <c r="B166" s="35" t="s">
        <v>1854</v>
      </c>
      <c r="C166" s="35" t="s">
        <v>50</v>
      </c>
      <c r="D166" s="35" t="s">
        <v>31</v>
      </c>
      <c r="E166" s="35" t="s">
        <v>283</v>
      </c>
      <c r="F166" s="35" t="s">
        <v>1819</v>
      </c>
      <c r="G166" s="55" t="s">
        <v>1871</v>
      </c>
    </row>
    <row r="167" spans="1:7" ht="12.5" x14ac:dyDescent="0.25">
      <c r="A167" s="54">
        <v>166</v>
      </c>
      <c r="B167" s="35" t="s">
        <v>1852</v>
      </c>
      <c r="C167" s="35" t="s">
        <v>50</v>
      </c>
      <c r="D167" s="35" t="s">
        <v>31</v>
      </c>
      <c r="E167" s="35" t="s">
        <v>283</v>
      </c>
      <c r="F167" s="35" t="s">
        <v>1865</v>
      </c>
      <c r="G167" s="55" t="s">
        <v>1872</v>
      </c>
    </row>
    <row r="168" spans="1:7" ht="12.5" x14ac:dyDescent="0.25">
      <c r="A168" s="54">
        <v>167</v>
      </c>
      <c r="B168" s="35" t="s">
        <v>1873</v>
      </c>
      <c r="C168" s="35" t="s">
        <v>16</v>
      </c>
      <c r="D168" s="35" t="s">
        <v>31</v>
      </c>
      <c r="E168" s="35" t="s">
        <v>284</v>
      </c>
      <c r="F168" s="35" t="s">
        <v>1816</v>
      </c>
      <c r="G168" s="55" t="s">
        <v>1874</v>
      </c>
    </row>
    <row r="169" spans="1:7" ht="12.5" x14ac:dyDescent="0.25">
      <c r="A169" s="54">
        <v>168</v>
      </c>
      <c r="B169" s="35" t="s">
        <v>1875</v>
      </c>
      <c r="C169" s="35" t="s">
        <v>16</v>
      </c>
      <c r="D169" s="35" t="s">
        <v>31</v>
      </c>
      <c r="E169" s="35" t="s">
        <v>64</v>
      </c>
      <c r="F169" s="35" t="s">
        <v>1876</v>
      </c>
      <c r="G169" s="55" t="s">
        <v>1877</v>
      </c>
    </row>
    <row r="170" spans="1:7" ht="12.5" x14ac:dyDescent="0.25">
      <c r="A170" s="54">
        <v>169</v>
      </c>
      <c r="B170" s="35" t="s">
        <v>1859</v>
      </c>
      <c r="C170" s="35" t="s">
        <v>50</v>
      </c>
      <c r="D170" s="35" t="s">
        <v>31</v>
      </c>
      <c r="E170" s="35" t="s">
        <v>256</v>
      </c>
      <c r="F170" s="35" t="s">
        <v>1878</v>
      </c>
      <c r="G170" s="55" t="s">
        <v>1879</v>
      </c>
    </row>
    <row r="171" spans="1:7" ht="12.5" x14ac:dyDescent="0.25">
      <c r="A171" s="54">
        <v>170</v>
      </c>
      <c r="B171" s="35" t="s">
        <v>1867</v>
      </c>
      <c r="C171" s="35" t="s">
        <v>50</v>
      </c>
      <c r="D171" s="35" t="s">
        <v>31</v>
      </c>
      <c r="E171" s="35" t="s">
        <v>289</v>
      </c>
      <c r="F171" s="35" t="s">
        <v>1880</v>
      </c>
      <c r="G171" s="55" t="s">
        <v>1881</v>
      </c>
    </row>
    <row r="172" spans="1:7" ht="12.5" x14ac:dyDescent="0.25">
      <c r="A172" s="54">
        <v>171</v>
      </c>
      <c r="B172" s="35" t="s">
        <v>1882</v>
      </c>
      <c r="C172" s="35" t="s">
        <v>16</v>
      </c>
      <c r="D172" s="35" t="s">
        <v>31</v>
      </c>
      <c r="E172" s="35" t="s">
        <v>290</v>
      </c>
      <c r="F172" s="35" t="s">
        <v>1837</v>
      </c>
      <c r="G172" s="55" t="s">
        <v>1883</v>
      </c>
    </row>
    <row r="173" spans="1:7" ht="12.5" x14ac:dyDescent="0.25">
      <c r="A173" s="54">
        <v>172</v>
      </c>
      <c r="B173" s="35" t="s">
        <v>1849</v>
      </c>
      <c r="C173" s="35" t="s">
        <v>50</v>
      </c>
      <c r="D173" s="35" t="s">
        <v>31</v>
      </c>
      <c r="E173" s="35" t="s">
        <v>290</v>
      </c>
      <c r="F173" s="35" t="s">
        <v>1847</v>
      </c>
      <c r="G173" s="55" t="s">
        <v>1884</v>
      </c>
    </row>
    <row r="174" spans="1:7" ht="12.5" x14ac:dyDescent="0.25">
      <c r="A174" s="54">
        <v>173</v>
      </c>
      <c r="B174" s="35" t="s">
        <v>1885</v>
      </c>
      <c r="C174" s="35" t="s">
        <v>16</v>
      </c>
      <c r="D174" s="35" t="s">
        <v>31</v>
      </c>
      <c r="E174" s="35" t="s">
        <v>38</v>
      </c>
      <c r="F174" s="35" t="s">
        <v>1834</v>
      </c>
      <c r="G174" s="55" t="s">
        <v>1886</v>
      </c>
    </row>
    <row r="175" spans="1:7" ht="12.5" x14ac:dyDescent="0.25">
      <c r="A175" s="54">
        <v>174</v>
      </c>
      <c r="B175" s="35" t="s">
        <v>1887</v>
      </c>
      <c r="C175" s="35" t="s">
        <v>16</v>
      </c>
      <c r="D175" s="35" t="s">
        <v>41</v>
      </c>
      <c r="E175" s="35" t="s">
        <v>295</v>
      </c>
      <c r="F175" s="35" t="s">
        <v>1888</v>
      </c>
      <c r="G175" s="55" t="s">
        <v>1889</v>
      </c>
    </row>
    <row r="176" spans="1:7" ht="12.5" x14ac:dyDescent="0.25">
      <c r="A176" s="54">
        <v>175</v>
      </c>
      <c r="B176" s="35" t="s">
        <v>1890</v>
      </c>
      <c r="C176" s="35" t="s">
        <v>16</v>
      </c>
      <c r="D176" s="35" t="s">
        <v>41</v>
      </c>
      <c r="E176" s="35" t="s">
        <v>19</v>
      </c>
      <c r="F176" s="35" t="s">
        <v>1813</v>
      </c>
      <c r="G176" s="55" t="s">
        <v>1891</v>
      </c>
    </row>
    <row r="177" spans="1:7" ht="12.5" x14ac:dyDescent="0.25">
      <c r="A177" s="54">
        <v>176</v>
      </c>
      <c r="B177" s="35" t="s">
        <v>1892</v>
      </c>
      <c r="C177" s="35" t="s">
        <v>50</v>
      </c>
      <c r="D177" s="35" t="s">
        <v>41</v>
      </c>
      <c r="E177" s="35" t="s">
        <v>300</v>
      </c>
      <c r="F177" s="35" t="s">
        <v>1834</v>
      </c>
      <c r="G177" s="55" t="s">
        <v>1893</v>
      </c>
    </row>
    <row r="178" spans="1:7" ht="12.5" x14ac:dyDescent="0.25">
      <c r="A178" s="54">
        <v>177</v>
      </c>
      <c r="B178" s="35" t="s">
        <v>1894</v>
      </c>
      <c r="C178" s="35" t="s">
        <v>16</v>
      </c>
      <c r="D178" s="35" t="s">
        <v>41</v>
      </c>
      <c r="E178" s="35" t="s">
        <v>268</v>
      </c>
      <c r="F178" s="35" t="s">
        <v>1834</v>
      </c>
      <c r="G178" s="55" t="s">
        <v>1895</v>
      </c>
    </row>
    <row r="179" spans="1:7" ht="12.5" x14ac:dyDescent="0.25">
      <c r="A179" s="54">
        <v>178</v>
      </c>
      <c r="B179" s="35" t="s">
        <v>1896</v>
      </c>
      <c r="C179" s="35" t="s">
        <v>16</v>
      </c>
      <c r="D179" s="35" t="s">
        <v>41</v>
      </c>
      <c r="E179" s="35" t="s">
        <v>191</v>
      </c>
      <c r="F179" s="35" t="s">
        <v>1816</v>
      </c>
      <c r="G179" s="55" t="s">
        <v>1897</v>
      </c>
    </row>
    <row r="180" spans="1:7" ht="12.5" x14ac:dyDescent="0.25">
      <c r="A180" s="54">
        <v>179</v>
      </c>
      <c r="B180" s="35" t="s">
        <v>1898</v>
      </c>
      <c r="C180" s="35" t="s">
        <v>16</v>
      </c>
      <c r="D180" s="35" t="s">
        <v>41</v>
      </c>
      <c r="E180" s="35" t="s">
        <v>281</v>
      </c>
      <c r="F180" s="35" t="s">
        <v>1850</v>
      </c>
      <c r="G180" s="55" t="s">
        <v>1899</v>
      </c>
    </row>
    <row r="181" spans="1:7" ht="12.5" x14ac:dyDescent="0.25">
      <c r="A181" s="54">
        <v>180</v>
      </c>
      <c r="B181" s="35" t="s">
        <v>1890</v>
      </c>
      <c r="C181" s="35" t="s">
        <v>50</v>
      </c>
      <c r="D181" s="35" t="s">
        <v>41</v>
      </c>
      <c r="E181" s="35" t="s">
        <v>281</v>
      </c>
      <c r="F181" s="35" t="s">
        <v>1900</v>
      </c>
      <c r="G181" s="55" t="s">
        <v>1901</v>
      </c>
    </row>
    <row r="182" spans="1:7" ht="12.5" x14ac:dyDescent="0.25">
      <c r="A182" s="54">
        <v>181</v>
      </c>
      <c r="B182" s="35" t="s">
        <v>1894</v>
      </c>
      <c r="C182" s="35" t="s">
        <v>50</v>
      </c>
      <c r="D182" s="35" t="s">
        <v>41</v>
      </c>
      <c r="E182" s="35" t="s">
        <v>283</v>
      </c>
      <c r="F182" s="35" t="s">
        <v>1825</v>
      </c>
      <c r="G182" s="55" t="s">
        <v>1902</v>
      </c>
    </row>
    <row r="183" spans="1:7" ht="12.5" x14ac:dyDescent="0.25">
      <c r="A183" s="54">
        <v>182</v>
      </c>
      <c r="B183" s="35" t="s">
        <v>1887</v>
      </c>
      <c r="C183" s="35" t="s">
        <v>50</v>
      </c>
      <c r="D183" s="35" t="s">
        <v>41</v>
      </c>
      <c r="E183" s="35" t="s">
        <v>256</v>
      </c>
      <c r="F183" s="35" t="s">
        <v>1888</v>
      </c>
      <c r="G183" s="55" t="s">
        <v>1903</v>
      </c>
    </row>
    <row r="184" spans="1:7" ht="12.5" x14ac:dyDescent="0.25">
      <c r="A184" s="54">
        <v>183</v>
      </c>
      <c r="B184" s="35" t="s">
        <v>1904</v>
      </c>
      <c r="C184" s="35" t="s">
        <v>50</v>
      </c>
      <c r="D184" s="35" t="s">
        <v>41</v>
      </c>
      <c r="E184" s="35" t="s">
        <v>308</v>
      </c>
      <c r="F184" s="35" t="s">
        <v>1811</v>
      </c>
      <c r="G184" s="55" t="s">
        <v>1905</v>
      </c>
    </row>
    <row r="185" spans="1:7" ht="12.5" x14ac:dyDescent="0.25">
      <c r="A185" s="54">
        <v>184</v>
      </c>
      <c r="B185" s="35" t="s">
        <v>1906</v>
      </c>
      <c r="C185" s="35" t="s">
        <v>16</v>
      </c>
      <c r="D185" s="35" t="s">
        <v>47</v>
      </c>
      <c r="E185" s="35" t="s">
        <v>139</v>
      </c>
      <c r="F185" s="35" t="s">
        <v>1855</v>
      </c>
      <c r="G185" s="55" t="s">
        <v>1907</v>
      </c>
    </row>
    <row r="186" spans="1:7" ht="12.5" x14ac:dyDescent="0.25">
      <c r="A186" s="54">
        <v>185</v>
      </c>
      <c r="B186" s="35" t="s">
        <v>1908</v>
      </c>
      <c r="C186" s="35" t="s">
        <v>16</v>
      </c>
      <c r="D186" s="35" t="s">
        <v>47</v>
      </c>
      <c r="E186" s="35" t="s">
        <v>14</v>
      </c>
      <c r="F186" s="35" t="s">
        <v>1869</v>
      </c>
      <c r="G186" s="55" t="s">
        <v>1909</v>
      </c>
    </row>
    <row r="187" spans="1:7" ht="12.5" x14ac:dyDescent="0.25">
      <c r="A187" s="54">
        <v>186</v>
      </c>
      <c r="B187" s="35" t="s">
        <v>1910</v>
      </c>
      <c r="C187" s="35" t="s">
        <v>16</v>
      </c>
      <c r="D187" s="35" t="s">
        <v>47</v>
      </c>
      <c r="E187" s="35" t="s">
        <v>19</v>
      </c>
      <c r="F187" s="35" t="s">
        <v>1811</v>
      </c>
      <c r="G187" s="55" t="s">
        <v>1911</v>
      </c>
    </row>
    <row r="188" spans="1:7" ht="12.5" x14ac:dyDescent="0.25">
      <c r="A188" s="54">
        <v>187</v>
      </c>
      <c r="B188" s="35" t="s">
        <v>1912</v>
      </c>
      <c r="C188" s="35" t="s">
        <v>16</v>
      </c>
      <c r="D188" s="35" t="s">
        <v>47</v>
      </c>
      <c r="E188" s="35" t="s">
        <v>268</v>
      </c>
      <c r="F188" s="35" t="s">
        <v>1847</v>
      </c>
      <c r="G188" s="55" t="s">
        <v>1913</v>
      </c>
    </row>
    <row r="189" spans="1:7" ht="12.5" x14ac:dyDescent="0.25">
      <c r="A189" s="54">
        <v>188</v>
      </c>
      <c r="B189" s="35" t="s">
        <v>1914</v>
      </c>
      <c r="C189" s="35" t="s">
        <v>16</v>
      </c>
      <c r="D189" s="35" t="s">
        <v>47</v>
      </c>
      <c r="E189" s="35" t="s">
        <v>191</v>
      </c>
      <c r="F189" s="35" t="s">
        <v>1915</v>
      </c>
      <c r="G189" s="55" t="s">
        <v>1916</v>
      </c>
    </row>
    <row r="190" spans="1:7" ht="12.5" x14ac:dyDescent="0.25">
      <c r="A190" s="54">
        <v>189</v>
      </c>
      <c r="B190" s="35" t="s">
        <v>1917</v>
      </c>
      <c r="C190" s="35" t="s">
        <v>16</v>
      </c>
      <c r="D190" s="35" t="s">
        <v>47</v>
      </c>
      <c r="E190" s="35" t="s">
        <v>23</v>
      </c>
      <c r="F190" s="35" t="s">
        <v>1842</v>
      </c>
      <c r="G190" s="55" t="s">
        <v>1918</v>
      </c>
    </row>
    <row r="191" spans="1:7" ht="12.5" x14ac:dyDescent="0.25">
      <c r="A191" s="54">
        <v>190</v>
      </c>
      <c r="B191" s="35" t="s">
        <v>1919</v>
      </c>
      <c r="C191" s="35" t="s">
        <v>16</v>
      </c>
      <c r="D191" s="35" t="s">
        <v>47</v>
      </c>
      <c r="E191" s="35" t="s">
        <v>25</v>
      </c>
      <c r="F191" s="35" t="s">
        <v>1869</v>
      </c>
      <c r="G191" s="55" t="s">
        <v>1920</v>
      </c>
    </row>
    <row r="192" spans="1:7" ht="12.5" x14ac:dyDescent="0.25">
      <c r="A192" s="54">
        <v>191</v>
      </c>
      <c r="B192" s="35" t="s">
        <v>1912</v>
      </c>
      <c r="C192" s="35" t="s">
        <v>50</v>
      </c>
      <c r="D192" s="35" t="s">
        <v>47</v>
      </c>
      <c r="E192" s="35" t="s">
        <v>283</v>
      </c>
      <c r="F192" s="35" t="s">
        <v>1921</v>
      </c>
      <c r="G192" s="55" t="s">
        <v>1922</v>
      </c>
    </row>
    <row r="193" spans="1:7" ht="12.5" x14ac:dyDescent="0.25">
      <c r="A193" s="54">
        <v>192</v>
      </c>
      <c r="B193" s="35" t="s">
        <v>1908</v>
      </c>
      <c r="C193" s="35" t="s">
        <v>50</v>
      </c>
      <c r="D193" s="35" t="s">
        <v>47</v>
      </c>
      <c r="E193" s="35" t="s">
        <v>283</v>
      </c>
      <c r="F193" s="35" t="s">
        <v>1819</v>
      </c>
      <c r="G193" s="55" t="s">
        <v>1923</v>
      </c>
    </row>
    <row r="194" spans="1:7" ht="12.5" x14ac:dyDescent="0.25">
      <c r="A194" s="54">
        <v>193</v>
      </c>
      <c r="B194" s="35" t="s">
        <v>1914</v>
      </c>
      <c r="C194" s="35" t="s">
        <v>50</v>
      </c>
      <c r="D194" s="35" t="s">
        <v>47</v>
      </c>
      <c r="E194" s="35" t="s">
        <v>325</v>
      </c>
      <c r="F194" s="35" t="s">
        <v>1865</v>
      </c>
      <c r="G194" s="55" t="s">
        <v>1924</v>
      </c>
    </row>
    <row r="195" spans="1:7" ht="12.5" x14ac:dyDescent="0.25">
      <c r="A195" s="54">
        <v>194</v>
      </c>
      <c r="B195" s="35" t="s">
        <v>1917</v>
      </c>
      <c r="C195" s="35" t="s">
        <v>50</v>
      </c>
      <c r="D195" s="35" t="s">
        <v>47</v>
      </c>
      <c r="E195" s="35" t="s">
        <v>36</v>
      </c>
      <c r="F195" s="35" t="s">
        <v>1828</v>
      </c>
      <c r="G195" s="55" t="s">
        <v>1925</v>
      </c>
    </row>
    <row r="196" spans="1:7" ht="12.5" x14ac:dyDescent="0.25">
      <c r="A196" s="54">
        <v>195</v>
      </c>
      <c r="B196" s="35" t="s">
        <v>1906</v>
      </c>
      <c r="C196" s="35" t="s">
        <v>50</v>
      </c>
      <c r="D196" s="35" t="s">
        <v>47</v>
      </c>
      <c r="E196" s="35" t="s">
        <v>36</v>
      </c>
      <c r="F196" s="35" t="s">
        <v>1825</v>
      </c>
      <c r="G196" s="55" t="s">
        <v>1926</v>
      </c>
    </row>
    <row r="197" spans="1:7" ht="12.5" x14ac:dyDescent="0.25">
      <c r="A197" s="54">
        <v>196</v>
      </c>
      <c r="B197" s="35" t="s">
        <v>1910</v>
      </c>
      <c r="C197" s="35" t="s">
        <v>50</v>
      </c>
      <c r="D197" s="35" t="s">
        <v>47</v>
      </c>
      <c r="E197" s="35" t="s">
        <v>290</v>
      </c>
      <c r="F197" s="35" t="s">
        <v>1860</v>
      </c>
      <c r="G197" s="55" t="s">
        <v>1927</v>
      </c>
    </row>
    <row r="198" spans="1:7" ht="12.5" x14ac:dyDescent="0.25">
      <c r="A198" s="54">
        <v>197</v>
      </c>
      <c r="B198" s="35" t="s">
        <v>1928</v>
      </c>
      <c r="C198" s="35" t="s">
        <v>16</v>
      </c>
      <c r="D198" s="35" t="s">
        <v>47</v>
      </c>
      <c r="E198" s="35" t="s">
        <v>38</v>
      </c>
      <c r="F198" s="35" t="s">
        <v>1831</v>
      </c>
      <c r="G198" s="55" t="s">
        <v>1929</v>
      </c>
    </row>
    <row r="199" spans="1:7" ht="12.5" x14ac:dyDescent="0.25">
      <c r="A199" s="54">
        <v>198</v>
      </c>
      <c r="B199" s="35" t="s">
        <v>1930</v>
      </c>
      <c r="C199" s="35" t="s">
        <v>16</v>
      </c>
      <c r="D199" s="35" t="s">
        <v>52</v>
      </c>
      <c r="E199" s="35" t="s">
        <v>261</v>
      </c>
      <c r="F199" s="35" t="s">
        <v>1931</v>
      </c>
      <c r="G199" s="55" t="s">
        <v>1932</v>
      </c>
    </row>
    <row r="200" spans="1:7" ht="12.5" x14ac:dyDescent="0.25">
      <c r="A200" s="54">
        <v>199</v>
      </c>
      <c r="B200" s="35" t="s">
        <v>1933</v>
      </c>
      <c r="C200" s="35" t="s">
        <v>16</v>
      </c>
      <c r="D200" s="35" t="s">
        <v>52</v>
      </c>
      <c r="E200" s="35" t="s">
        <v>14</v>
      </c>
      <c r="F200" s="35" t="s">
        <v>1888</v>
      </c>
      <c r="G200" s="55" t="s">
        <v>1934</v>
      </c>
    </row>
    <row r="201" spans="1:7" ht="12.5" x14ac:dyDescent="0.25">
      <c r="A201" s="54">
        <v>200</v>
      </c>
      <c r="B201" s="35" t="s">
        <v>1935</v>
      </c>
      <c r="C201" s="35" t="s">
        <v>16</v>
      </c>
      <c r="D201" s="35" t="s">
        <v>52</v>
      </c>
      <c r="E201" s="35" t="s">
        <v>14</v>
      </c>
      <c r="F201" s="35" t="s">
        <v>1855</v>
      </c>
      <c r="G201" s="55" t="s">
        <v>1936</v>
      </c>
    </row>
    <row r="202" spans="1:7" ht="12.5" x14ac:dyDescent="0.25">
      <c r="A202" s="54">
        <v>201</v>
      </c>
      <c r="B202" s="35" t="s">
        <v>1937</v>
      </c>
      <c r="C202" s="35" t="s">
        <v>16</v>
      </c>
      <c r="D202" s="35" t="s">
        <v>52</v>
      </c>
      <c r="E202" s="35" t="s">
        <v>191</v>
      </c>
      <c r="F202" s="35" t="s">
        <v>1857</v>
      </c>
      <c r="G202" s="55" t="s">
        <v>1938</v>
      </c>
    </row>
    <row r="203" spans="1:7" ht="12.5" x14ac:dyDescent="0.25">
      <c r="A203" s="54">
        <v>202</v>
      </c>
      <c r="B203" s="35" t="s">
        <v>1930</v>
      </c>
      <c r="C203" s="35" t="s">
        <v>50</v>
      </c>
      <c r="D203" s="35" t="s">
        <v>52</v>
      </c>
      <c r="E203" s="35" t="s">
        <v>23</v>
      </c>
      <c r="F203" s="35" t="s">
        <v>1888</v>
      </c>
      <c r="G203" s="55" t="s">
        <v>1939</v>
      </c>
    </row>
    <row r="204" spans="1:7" ht="12.5" x14ac:dyDescent="0.25">
      <c r="A204" s="54">
        <v>203</v>
      </c>
      <c r="B204" s="35" t="s">
        <v>1940</v>
      </c>
      <c r="C204" s="35" t="s">
        <v>16</v>
      </c>
      <c r="D204" s="35" t="s">
        <v>52</v>
      </c>
      <c r="E204" s="35" t="s">
        <v>23</v>
      </c>
      <c r="F204" s="35" t="s">
        <v>1880</v>
      </c>
      <c r="G204" s="55" t="s">
        <v>1941</v>
      </c>
    </row>
    <row r="205" spans="1:7" ht="12.5" x14ac:dyDescent="0.25">
      <c r="A205" s="54">
        <v>204</v>
      </c>
      <c r="B205" s="35" t="s">
        <v>1942</v>
      </c>
      <c r="C205" s="35" t="s">
        <v>16</v>
      </c>
      <c r="D205" s="35" t="s">
        <v>52</v>
      </c>
      <c r="E205" s="35" t="s">
        <v>338</v>
      </c>
      <c r="F205" s="35" t="s">
        <v>1943</v>
      </c>
      <c r="G205" s="55" t="s">
        <v>1944</v>
      </c>
    </row>
    <row r="206" spans="1:7" ht="12.5" x14ac:dyDescent="0.25">
      <c r="A206" s="54">
        <v>205</v>
      </c>
      <c r="B206" s="35" t="s">
        <v>1945</v>
      </c>
      <c r="C206" s="35" t="s">
        <v>16</v>
      </c>
      <c r="D206" s="35" t="s">
        <v>52</v>
      </c>
      <c r="E206" s="35" t="s">
        <v>221</v>
      </c>
      <c r="F206" s="35" t="s">
        <v>1825</v>
      </c>
      <c r="G206" s="55" t="s">
        <v>1946</v>
      </c>
    </row>
    <row r="207" spans="1:7" ht="12.5" x14ac:dyDescent="0.25">
      <c r="A207" s="54">
        <v>206</v>
      </c>
      <c r="B207" s="35" t="s">
        <v>1940</v>
      </c>
      <c r="C207" s="35" t="s">
        <v>50</v>
      </c>
      <c r="D207" s="35" t="s">
        <v>52</v>
      </c>
      <c r="E207" s="35" t="s">
        <v>36</v>
      </c>
      <c r="F207" s="35" t="s">
        <v>1947</v>
      </c>
      <c r="G207" s="55" t="s">
        <v>1948</v>
      </c>
    </row>
    <row r="208" spans="1:7" ht="12.5" x14ac:dyDescent="0.25">
      <c r="A208" s="54">
        <v>207</v>
      </c>
      <c r="B208" s="35" t="s">
        <v>1949</v>
      </c>
      <c r="C208" s="35" t="s">
        <v>16</v>
      </c>
      <c r="D208" s="35" t="s">
        <v>52</v>
      </c>
      <c r="E208" s="35" t="s">
        <v>342</v>
      </c>
      <c r="F208" s="35" t="s">
        <v>1816</v>
      </c>
      <c r="G208" s="55" t="s">
        <v>1950</v>
      </c>
    </row>
    <row r="209" spans="1:7" ht="12.5" x14ac:dyDescent="0.25">
      <c r="A209" s="54">
        <v>208</v>
      </c>
      <c r="B209" s="35" t="s">
        <v>1935</v>
      </c>
      <c r="C209" s="35" t="s">
        <v>50</v>
      </c>
      <c r="D209" s="35" t="s">
        <v>52</v>
      </c>
      <c r="E209" s="35" t="s">
        <v>290</v>
      </c>
      <c r="F209" s="35" t="s">
        <v>1857</v>
      </c>
      <c r="G209" s="55" t="s">
        <v>1951</v>
      </c>
    </row>
    <row r="210" spans="1:7" ht="12.5" x14ac:dyDescent="0.25">
      <c r="A210" s="54">
        <v>209</v>
      </c>
      <c r="B210" s="35" t="s">
        <v>1945</v>
      </c>
      <c r="C210" s="35" t="s">
        <v>50</v>
      </c>
      <c r="D210" s="35" t="s">
        <v>52</v>
      </c>
      <c r="E210" s="35" t="s">
        <v>28</v>
      </c>
      <c r="F210" s="35" t="s">
        <v>1952</v>
      </c>
      <c r="G210" s="55" t="s">
        <v>1953</v>
      </c>
    </row>
    <row r="211" spans="1:7" ht="12.5" x14ac:dyDescent="0.25">
      <c r="A211" s="54">
        <v>210</v>
      </c>
      <c r="B211" s="35" t="s">
        <v>1949</v>
      </c>
      <c r="C211" s="35" t="s">
        <v>50</v>
      </c>
      <c r="D211" s="35" t="s">
        <v>52</v>
      </c>
      <c r="E211" s="35" t="s">
        <v>308</v>
      </c>
      <c r="F211" s="35" t="s">
        <v>1840</v>
      </c>
      <c r="G211" s="55" t="s">
        <v>1954</v>
      </c>
    </row>
    <row r="212" spans="1:7" ht="12.5" x14ac:dyDescent="0.25">
      <c r="A212" s="54">
        <v>211</v>
      </c>
      <c r="B212" s="35" t="s">
        <v>1955</v>
      </c>
      <c r="C212" s="35" t="s">
        <v>50</v>
      </c>
      <c r="D212" s="35" t="s">
        <v>195</v>
      </c>
      <c r="E212" s="35" t="s">
        <v>53</v>
      </c>
      <c r="F212" s="35" t="s">
        <v>1878</v>
      </c>
      <c r="G212" s="55" t="s">
        <v>1956</v>
      </c>
    </row>
    <row r="213" spans="1:7" ht="12.5" x14ac:dyDescent="0.25">
      <c r="A213" s="54">
        <v>212</v>
      </c>
      <c r="B213" s="35" t="s">
        <v>1957</v>
      </c>
      <c r="C213" s="35" t="s">
        <v>155</v>
      </c>
      <c r="D213" s="35" t="s">
        <v>13</v>
      </c>
      <c r="E213" s="35" t="s">
        <v>14</v>
      </c>
      <c r="F213" s="35" t="s">
        <v>1958</v>
      </c>
      <c r="G213" s="55" t="s">
        <v>1959</v>
      </c>
    </row>
    <row r="214" spans="1:7" ht="12.5" x14ac:dyDescent="0.25">
      <c r="A214" s="54">
        <v>213</v>
      </c>
      <c r="B214" s="35" t="s">
        <v>1960</v>
      </c>
      <c r="C214" s="35" t="s">
        <v>16</v>
      </c>
      <c r="D214" s="35" t="s">
        <v>13</v>
      </c>
      <c r="E214" s="35" t="s">
        <v>25</v>
      </c>
      <c r="F214" s="35" t="s">
        <v>1961</v>
      </c>
      <c r="G214" s="55" t="s">
        <v>1962</v>
      </c>
    </row>
    <row r="215" spans="1:7" ht="12.5" x14ac:dyDescent="0.25">
      <c r="A215" s="54">
        <v>214</v>
      </c>
      <c r="B215" s="35" t="s">
        <v>1963</v>
      </c>
      <c r="C215" s="35" t="s">
        <v>16</v>
      </c>
      <c r="D215" s="35" t="s">
        <v>13</v>
      </c>
      <c r="E215" s="35" t="s">
        <v>64</v>
      </c>
      <c r="F215" s="35" t="s">
        <v>1964</v>
      </c>
      <c r="G215" s="55" t="s">
        <v>1965</v>
      </c>
    </row>
    <row r="216" spans="1:7" ht="12.5" x14ac:dyDescent="0.25">
      <c r="A216" s="54">
        <v>215</v>
      </c>
      <c r="B216" s="35" t="s">
        <v>1966</v>
      </c>
      <c r="C216" s="35" t="s">
        <v>16</v>
      </c>
      <c r="D216" s="35" t="s">
        <v>13</v>
      </c>
      <c r="E216" s="35" t="s">
        <v>101</v>
      </c>
      <c r="F216" s="35" t="s">
        <v>1967</v>
      </c>
      <c r="G216" s="55" t="s">
        <v>1968</v>
      </c>
    </row>
    <row r="217" spans="1:7" ht="12.5" x14ac:dyDescent="0.25">
      <c r="A217" s="54">
        <v>216</v>
      </c>
      <c r="B217" s="35" t="s">
        <v>1969</v>
      </c>
      <c r="C217" s="35" t="s">
        <v>16</v>
      </c>
      <c r="D217" s="35" t="s">
        <v>31</v>
      </c>
      <c r="E217" s="35" t="s">
        <v>14</v>
      </c>
      <c r="F217" s="35" t="s">
        <v>1970</v>
      </c>
      <c r="G217" s="55" t="s">
        <v>1971</v>
      </c>
    </row>
    <row r="218" spans="1:7" ht="12.5" x14ac:dyDescent="0.25">
      <c r="A218" s="54">
        <v>217</v>
      </c>
      <c r="B218" s="35" t="s">
        <v>1972</v>
      </c>
      <c r="C218" s="35" t="s">
        <v>16</v>
      </c>
      <c r="D218" s="35" t="s">
        <v>31</v>
      </c>
      <c r="E218" s="35" t="s">
        <v>271</v>
      </c>
      <c r="F218" s="35" t="s">
        <v>1973</v>
      </c>
      <c r="G218" s="55" t="s">
        <v>1974</v>
      </c>
    </row>
    <row r="219" spans="1:7" ht="12.5" x14ac:dyDescent="0.25">
      <c r="A219" s="54">
        <v>218</v>
      </c>
      <c r="B219" s="35" t="s">
        <v>1975</v>
      </c>
      <c r="C219" s="35" t="s">
        <v>16</v>
      </c>
      <c r="D219" s="35" t="s">
        <v>31</v>
      </c>
      <c r="E219" s="35" t="s">
        <v>25</v>
      </c>
      <c r="F219" s="35" t="s">
        <v>1964</v>
      </c>
      <c r="G219" s="55" t="s">
        <v>1976</v>
      </c>
    </row>
    <row r="220" spans="1:7" ht="12.5" x14ac:dyDescent="0.25">
      <c r="A220" s="54">
        <v>219</v>
      </c>
      <c r="B220" s="35" t="s">
        <v>1977</v>
      </c>
      <c r="C220" s="35" t="s">
        <v>16</v>
      </c>
      <c r="D220" s="35" t="s">
        <v>31</v>
      </c>
      <c r="E220" s="35" t="s">
        <v>64</v>
      </c>
      <c r="F220" s="35" t="s">
        <v>1978</v>
      </c>
      <c r="G220" s="55" t="s">
        <v>1979</v>
      </c>
    </row>
    <row r="221" spans="1:7" ht="12.5" x14ac:dyDescent="0.25">
      <c r="A221" s="54">
        <v>220</v>
      </c>
      <c r="B221" s="35" t="s">
        <v>1977</v>
      </c>
      <c r="C221" s="35" t="s">
        <v>155</v>
      </c>
      <c r="D221" s="35" t="s">
        <v>31</v>
      </c>
      <c r="E221" s="35" t="s">
        <v>366</v>
      </c>
      <c r="F221" s="35" t="s">
        <v>1978</v>
      </c>
      <c r="G221" s="55" t="s">
        <v>1980</v>
      </c>
    </row>
    <row r="222" spans="1:7" ht="12.5" x14ac:dyDescent="0.25">
      <c r="A222" s="54">
        <v>221</v>
      </c>
      <c r="B222" s="35" t="s">
        <v>1977</v>
      </c>
      <c r="C222" s="35" t="s">
        <v>50</v>
      </c>
      <c r="D222" s="35" t="s">
        <v>31</v>
      </c>
      <c r="E222" s="35" t="s">
        <v>138</v>
      </c>
      <c r="F222" s="35" t="s">
        <v>1981</v>
      </c>
      <c r="G222" s="55" t="s">
        <v>1982</v>
      </c>
    </row>
    <row r="223" spans="1:7" ht="12.5" x14ac:dyDescent="0.25">
      <c r="A223" s="54">
        <v>222</v>
      </c>
      <c r="B223" s="35" t="s">
        <v>1977</v>
      </c>
      <c r="C223" s="35" t="s">
        <v>144</v>
      </c>
      <c r="D223" s="35" t="s">
        <v>31</v>
      </c>
      <c r="E223" s="35" t="s">
        <v>138</v>
      </c>
      <c r="F223" s="35" t="s">
        <v>1983</v>
      </c>
      <c r="G223" s="55" t="s">
        <v>1984</v>
      </c>
    </row>
    <row r="224" spans="1:7" ht="12.5" x14ac:dyDescent="0.25">
      <c r="A224" s="54">
        <v>223</v>
      </c>
      <c r="B224" s="35" t="s">
        <v>1966</v>
      </c>
      <c r="C224" s="35" t="s">
        <v>50</v>
      </c>
      <c r="D224" s="35" t="s">
        <v>41</v>
      </c>
      <c r="E224" s="35" t="s">
        <v>49</v>
      </c>
      <c r="F224" s="35" t="s">
        <v>1985</v>
      </c>
      <c r="G224" s="55" t="s">
        <v>1986</v>
      </c>
    </row>
    <row r="225" spans="1:7" ht="12.5" x14ac:dyDescent="0.25">
      <c r="A225" s="54">
        <v>224</v>
      </c>
      <c r="B225" s="35" t="s">
        <v>1987</v>
      </c>
      <c r="C225" s="35" t="s">
        <v>16</v>
      </c>
      <c r="D225" s="35" t="s">
        <v>41</v>
      </c>
      <c r="E225" s="35" t="s">
        <v>367</v>
      </c>
      <c r="F225" s="35" t="s">
        <v>1988</v>
      </c>
      <c r="G225" s="55" t="s">
        <v>1989</v>
      </c>
    </row>
    <row r="226" spans="1:7" ht="12.5" x14ac:dyDescent="0.25">
      <c r="A226" s="54">
        <v>225</v>
      </c>
      <c r="B226" s="35" t="s">
        <v>1990</v>
      </c>
      <c r="C226" s="35" t="s">
        <v>16</v>
      </c>
      <c r="D226" s="35" t="s">
        <v>47</v>
      </c>
      <c r="E226" s="35" t="s">
        <v>14</v>
      </c>
      <c r="F226" s="35" t="s">
        <v>1964</v>
      </c>
      <c r="G226" s="55" t="s">
        <v>1991</v>
      </c>
    </row>
    <row r="227" spans="1:7" ht="12.5" x14ac:dyDescent="0.25">
      <c r="A227" s="54">
        <v>226</v>
      </c>
      <c r="B227" s="35" t="s">
        <v>1972</v>
      </c>
      <c r="C227" s="35" t="s">
        <v>155</v>
      </c>
      <c r="D227" s="35" t="s">
        <v>47</v>
      </c>
      <c r="E227" s="35" t="s">
        <v>271</v>
      </c>
      <c r="F227" s="35" t="s">
        <v>1973</v>
      </c>
      <c r="G227" s="55" t="s">
        <v>1992</v>
      </c>
    </row>
    <row r="228" spans="1:7" ht="12.5" x14ac:dyDescent="0.25">
      <c r="A228" s="54">
        <v>227</v>
      </c>
      <c r="B228" s="35" t="s">
        <v>1993</v>
      </c>
      <c r="C228" s="35" t="s">
        <v>16</v>
      </c>
      <c r="D228" s="35" t="s">
        <v>47</v>
      </c>
      <c r="E228" s="35" t="s">
        <v>25</v>
      </c>
      <c r="F228" s="35" t="s">
        <v>1964</v>
      </c>
      <c r="G228" s="55" t="s">
        <v>1994</v>
      </c>
    </row>
    <row r="229" spans="1:7" ht="12.5" x14ac:dyDescent="0.25">
      <c r="A229" s="54">
        <v>228</v>
      </c>
      <c r="B229" s="35" t="s">
        <v>1995</v>
      </c>
      <c r="C229" s="35" t="s">
        <v>16</v>
      </c>
      <c r="D229" s="35" t="s">
        <v>47</v>
      </c>
      <c r="E229" s="35" t="s">
        <v>64</v>
      </c>
      <c r="F229" s="35" t="s">
        <v>1996</v>
      </c>
      <c r="G229" s="55" t="s">
        <v>1997</v>
      </c>
    </row>
    <row r="230" spans="1:7" ht="12.5" x14ac:dyDescent="0.25">
      <c r="A230" s="54">
        <v>229</v>
      </c>
      <c r="B230" s="35" t="s">
        <v>1975</v>
      </c>
      <c r="C230" s="35" t="s">
        <v>50</v>
      </c>
      <c r="D230" s="35" t="s">
        <v>47</v>
      </c>
      <c r="E230" s="35" t="s">
        <v>138</v>
      </c>
      <c r="F230" s="35" t="s">
        <v>1998</v>
      </c>
      <c r="G230" s="55" t="s">
        <v>1999</v>
      </c>
    </row>
    <row r="231" spans="1:7" ht="12.5" x14ac:dyDescent="0.25">
      <c r="A231" s="54">
        <v>230</v>
      </c>
      <c r="B231" s="35" t="s">
        <v>1987</v>
      </c>
      <c r="C231" s="35" t="s">
        <v>144</v>
      </c>
      <c r="D231" s="35" t="s">
        <v>52</v>
      </c>
      <c r="E231" s="35" t="s">
        <v>92</v>
      </c>
      <c r="F231" s="35" t="s">
        <v>1981</v>
      </c>
      <c r="G231" s="55" t="s">
        <v>2000</v>
      </c>
    </row>
    <row r="232" spans="1:7" ht="12.5" x14ac:dyDescent="0.25">
      <c r="A232" s="54">
        <v>231</v>
      </c>
      <c r="B232" s="35" t="s">
        <v>2001</v>
      </c>
      <c r="C232" s="35" t="s">
        <v>16</v>
      </c>
      <c r="D232" s="35" t="s">
        <v>52</v>
      </c>
      <c r="E232" s="35" t="s">
        <v>25</v>
      </c>
      <c r="F232" s="35" t="s">
        <v>2002</v>
      </c>
      <c r="G232" s="55" t="s">
        <v>2003</v>
      </c>
    </row>
    <row r="233" spans="1:7" ht="12.5" x14ac:dyDescent="0.25">
      <c r="A233" s="54">
        <v>232</v>
      </c>
      <c r="B233" s="35" t="s">
        <v>2004</v>
      </c>
      <c r="C233" s="35" t="s">
        <v>16</v>
      </c>
      <c r="D233" s="35" t="s">
        <v>52</v>
      </c>
      <c r="E233" s="35" t="s">
        <v>64</v>
      </c>
      <c r="F233" s="35" t="s">
        <v>1961</v>
      </c>
      <c r="G233" s="55" t="s">
        <v>2005</v>
      </c>
    </row>
    <row r="234" spans="1:7" ht="12.5" x14ac:dyDescent="0.25">
      <c r="A234" s="54">
        <v>233</v>
      </c>
      <c r="B234" s="35" t="s">
        <v>1995</v>
      </c>
      <c r="C234" s="35" t="s">
        <v>50</v>
      </c>
      <c r="D234" s="35" t="s">
        <v>52</v>
      </c>
      <c r="E234" s="35" t="s">
        <v>138</v>
      </c>
      <c r="F234" s="35" t="s">
        <v>1961</v>
      </c>
      <c r="G234" s="55" t="s">
        <v>2006</v>
      </c>
    </row>
    <row r="235" spans="1:7" ht="12.5" x14ac:dyDescent="0.25">
      <c r="A235" s="54">
        <v>234</v>
      </c>
      <c r="B235" s="35" t="s">
        <v>2007</v>
      </c>
      <c r="C235" s="35" t="s">
        <v>16</v>
      </c>
      <c r="D235" s="35" t="s">
        <v>13</v>
      </c>
      <c r="E235" s="35" t="s">
        <v>239</v>
      </c>
      <c r="F235" s="35" t="s">
        <v>2008</v>
      </c>
      <c r="G235" s="55" t="s">
        <v>2009</v>
      </c>
    </row>
    <row r="236" spans="1:7" ht="12.5" x14ac:dyDescent="0.25">
      <c r="A236" s="54">
        <v>235</v>
      </c>
      <c r="B236" s="35" t="s">
        <v>2010</v>
      </c>
      <c r="C236" s="35" t="s">
        <v>16</v>
      </c>
      <c r="D236" s="35" t="s">
        <v>13</v>
      </c>
      <c r="E236" s="35" t="s">
        <v>268</v>
      </c>
      <c r="F236" s="35" t="s">
        <v>2008</v>
      </c>
      <c r="G236" s="55" t="s">
        <v>2011</v>
      </c>
    </row>
    <row r="237" spans="1:7" ht="12.5" x14ac:dyDescent="0.25">
      <c r="A237" s="54">
        <v>236</v>
      </c>
      <c r="B237" s="35" t="s">
        <v>2012</v>
      </c>
      <c r="C237" s="35" t="s">
        <v>16</v>
      </c>
      <c r="D237" s="35" t="s">
        <v>13</v>
      </c>
      <c r="E237" s="35" t="s">
        <v>385</v>
      </c>
      <c r="F237" s="35" t="s">
        <v>2013</v>
      </c>
      <c r="G237" s="55" t="s">
        <v>2014</v>
      </c>
    </row>
    <row r="238" spans="1:7" ht="12.5" x14ac:dyDescent="0.25">
      <c r="A238" s="54">
        <v>237</v>
      </c>
      <c r="B238" s="35" t="s">
        <v>2015</v>
      </c>
      <c r="C238" s="35" t="s">
        <v>16</v>
      </c>
      <c r="D238" s="35" t="s">
        <v>13</v>
      </c>
      <c r="E238" s="35" t="s">
        <v>25</v>
      </c>
      <c r="F238" s="35" t="s">
        <v>2008</v>
      </c>
      <c r="G238" s="55" t="s">
        <v>2016</v>
      </c>
    </row>
    <row r="239" spans="1:7" ht="12.5" x14ac:dyDescent="0.25">
      <c r="A239" s="54">
        <v>238</v>
      </c>
      <c r="B239" s="35" t="s">
        <v>2017</v>
      </c>
      <c r="C239" s="35" t="s">
        <v>16</v>
      </c>
      <c r="D239" s="35" t="s">
        <v>13</v>
      </c>
      <c r="E239" s="35" t="s">
        <v>221</v>
      </c>
      <c r="F239" s="35" t="s">
        <v>1998</v>
      </c>
      <c r="G239" s="55" t="s">
        <v>2018</v>
      </c>
    </row>
    <row r="240" spans="1:7" ht="12.5" x14ac:dyDescent="0.25">
      <c r="A240" s="54">
        <v>239</v>
      </c>
      <c r="B240" s="35" t="s">
        <v>2019</v>
      </c>
      <c r="C240" s="35" t="s">
        <v>16</v>
      </c>
      <c r="D240" s="35" t="s">
        <v>13</v>
      </c>
      <c r="E240" s="35" t="s">
        <v>64</v>
      </c>
      <c r="F240" s="35" t="s">
        <v>2008</v>
      </c>
      <c r="G240" s="55" t="s">
        <v>2020</v>
      </c>
    </row>
    <row r="241" spans="1:7" ht="12.5" x14ac:dyDescent="0.25">
      <c r="A241" s="54">
        <v>240</v>
      </c>
      <c r="B241" s="35" t="s">
        <v>2012</v>
      </c>
      <c r="C241" s="35" t="s">
        <v>50</v>
      </c>
      <c r="D241" s="35" t="s">
        <v>13</v>
      </c>
      <c r="E241" s="35" t="s">
        <v>395</v>
      </c>
      <c r="F241" s="35" t="s">
        <v>2008</v>
      </c>
      <c r="G241" s="55" t="s">
        <v>2021</v>
      </c>
    </row>
    <row r="242" spans="1:7" ht="12.5" x14ac:dyDescent="0.25">
      <c r="A242" s="54">
        <v>241</v>
      </c>
      <c r="B242" s="35" t="s">
        <v>2022</v>
      </c>
      <c r="C242" s="35" t="s">
        <v>16</v>
      </c>
      <c r="D242" s="35" t="s">
        <v>13</v>
      </c>
      <c r="E242" s="35" t="s">
        <v>101</v>
      </c>
      <c r="F242" s="35" t="s">
        <v>2013</v>
      </c>
      <c r="G242" s="55" t="s">
        <v>2023</v>
      </c>
    </row>
    <row r="243" spans="1:7" ht="12.5" x14ac:dyDescent="0.25">
      <c r="A243" s="54">
        <v>242</v>
      </c>
      <c r="B243" s="35" t="s">
        <v>2024</v>
      </c>
      <c r="C243" s="35" t="s">
        <v>16</v>
      </c>
      <c r="D243" s="35" t="s">
        <v>13</v>
      </c>
      <c r="E243" s="35" t="s">
        <v>397</v>
      </c>
      <c r="F243" s="35" t="s">
        <v>1961</v>
      </c>
      <c r="G243" s="55" t="s">
        <v>2025</v>
      </c>
    </row>
    <row r="244" spans="1:7" ht="12.5" x14ac:dyDescent="0.25">
      <c r="A244" s="54">
        <v>243</v>
      </c>
      <c r="B244" s="35" t="s">
        <v>2026</v>
      </c>
      <c r="C244" s="35" t="s">
        <v>16</v>
      </c>
      <c r="D244" s="35" t="s">
        <v>31</v>
      </c>
      <c r="E244" s="35" t="s">
        <v>268</v>
      </c>
      <c r="F244" s="35" t="s">
        <v>2008</v>
      </c>
      <c r="G244" s="55" t="s">
        <v>2027</v>
      </c>
    </row>
    <row r="245" spans="1:7" ht="12.5" x14ac:dyDescent="0.25">
      <c r="A245" s="54">
        <v>244</v>
      </c>
      <c r="B245" s="35" t="s">
        <v>2028</v>
      </c>
      <c r="C245" s="35" t="s">
        <v>16</v>
      </c>
      <c r="D245" s="35" t="s">
        <v>31</v>
      </c>
      <c r="E245" s="35" t="s">
        <v>385</v>
      </c>
      <c r="F245" s="35" t="s">
        <v>2008</v>
      </c>
      <c r="G245" s="55" t="s">
        <v>2029</v>
      </c>
    </row>
    <row r="246" spans="1:7" ht="12.5" x14ac:dyDescent="0.25">
      <c r="A246" s="54">
        <v>245</v>
      </c>
      <c r="B246" s="35" t="s">
        <v>2030</v>
      </c>
      <c r="C246" s="35" t="s">
        <v>16</v>
      </c>
      <c r="D246" s="35" t="s">
        <v>31</v>
      </c>
      <c r="E246" s="35" t="s">
        <v>221</v>
      </c>
      <c r="F246" s="35" t="s">
        <v>2031</v>
      </c>
      <c r="G246" s="55" t="s">
        <v>2032</v>
      </c>
    </row>
    <row r="247" spans="1:7" ht="12.5" x14ac:dyDescent="0.25">
      <c r="A247" s="54">
        <v>246</v>
      </c>
      <c r="B247" s="35" t="s">
        <v>2033</v>
      </c>
      <c r="C247" s="35" t="s">
        <v>16</v>
      </c>
      <c r="D247" s="35" t="s">
        <v>31</v>
      </c>
      <c r="E247" s="35" t="s">
        <v>221</v>
      </c>
      <c r="F247" s="35" t="s">
        <v>2034</v>
      </c>
      <c r="G247" s="55" t="s">
        <v>2035</v>
      </c>
    </row>
    <row r="248" spans="1:7" ht="12.5" x14ac:dyDescent="0.25">
      <c r="A248" s="54">
        <v>247</v>
      </c>
      <c r="B248" s="35" t="s">
        <v>2036</v>
      </c>
      <c r="C248" s="35" t="s">
        <v>16</v>
      </c>
      <c r="D248" s="35" t="s">
        <v>31</v>
      </c>
      <c r="E248" s="35" t="s">
        <v>64</v>
      </c>
      <c r="F248" s="35" t="s">
        <v>2008</v>
      </c>
      <c r="G248" s="55" t="s">
        <v>2037</v>
      </c>
    </row>
    <row r="249" spans="1:7" ht="12.5" x14ac:dyDescent="0.25">
      <c r="A249" s="54">
        <v>248</v>
      </c>
      <c r="B249" s="35" t="s">
        <v>2007</v>
      </c>
      <c r="C249" s="35" t="s">
        <v>50</v>
      </c>
      <c r="D249" s="35" t="s">
        <v>31</v>
      </c>
      <c r="E249" s="35" t="s">
        <v>49</v>
      </c>
      <c r="F249" s="35" t="s">
        <v>1961</v>
      </c>
      <c r="G249" s="55" t="s">
        <v>2038</v>
      </c>
    </row>
    <row r="250" spans="1:7" ht="12.5" x14ac:dyDescent="0.25">
      <c r="A250" s="54">
        <v>249</v>
      </c>
      <c r="B250" s="35" t="s">
        <v>2019</v>
      </c>
      <c r="C250" s="35" t="s">
        <v>50</v>
      </c>
      <c r="D250" s="35" t="s">
        <v>31</v>
      </c>
      <c r="E250" s="35" t="s">
        <v>138</v>
      </c>
      <c r="F250" s="35" t="s">
        <v>2039</v>
      </c>
      <c r="G250" s="55" t="s">
        <v>2040</v>
      </c>
    </row>
    <row r="251" spans="1:7" ht="12.5" x14ac:dyDescent="0.25">
      <c r="A251" s="54">
        <v>250</v>
      </c>
      <c r="B251" s="35" t="s">
        <v>2036</v>
      </c>
      <c r="C251" s="35" t="s">
        <v>50</v>
      </c>
      <c r="D251" s="35" t="s">
        <v>31</v>
      </c>
      <c r="E251" s="35" t="s">
        <v>138</v>
      </c>
      <c r="F251" s="35" t="s">
        <v>2008</v>
      </c>
      <c r="G251" s="55" t="s">
        <v>2041</v>
      </c>
    </row>
    <row r="252" spans="1:7" ht="12.5" x14ac:dyDescent="0.25">
      <c r="A252" s="54">
        <v>251</v>
      </c>
      <c r="B252" s="35" t="s">
        <v>2017</v>
      </c>
      <c r="C252" s="35" t="s">
        <v>50</v>
      </c>
      <c r="D252" s="35" t="s">
        <v>31</v>
      </c>
      <c r="E252" s="35" t="s">
        <v>138</v>
      </c>
      <c r="F252" s="35" t="s">
        <v>1998</v>
      </c>
      <c r="G252" s="55" t="s">
        <v>2042</v>
      </c>
    </row>
    <row r="253" spans="1:7" ht="12.5" x14ac:dyDescent="0.25">
      <c r="A253" s="54">
        <v>252</v>
      </c>
      <c r="B253" s="35" t="s">
        <v>2043</v>
      </c>
      <c r="C253" s="35" t="s">
        <v>16</v>
      </c>
      <c r="D253" s="35" t="s">
        <v>41</v>
      </c>
      <c r="E253" s="35" t="s">
        <v>261</v>
      </c>
      <c r="F253" s="35" t="s">
        <v>2008</v>
      </c>
      <c r="G253" s="55" t="s">
        <v>2044</v>
      </c>
    </row>
    <row r="254" spans="1:7" ht="12.5" x14ac:dyDescent="0.25">
      <c r="A254" s="54">
        <v>253</v>
      </c>
      <c r="B254" s="35" t="s">
        <v>2045</v>
      </c>
      <c r="C254" s="35" t="s">
        <v>16</v>
      </c>
      <c r="D254" s="35" t="s">
        <v>41</v>
      </c>
      <c r="E254" s="35" t="s">
        <v>261</v>
      </c>
      <c r="F254" s="35" t="s">
        <v>2046</v>
      </c>
      <c r="G254" s="55" t="s">
        <v>2047</v>
      </c>
    </row>
    <row r="255" spans="1:7" ht="12.5" x14ac:dyDescent="0.25">
      <c r="A255" s="54">
        <v>254</v>
      </c>
      <c r="B255" s="35" t="s">
        <v>2048</v>
      </c>
      <c r="C255" s="35" t="s">
        <v>16</v>
      </c>
      <c r="D255" s="35" t="s">
        <v>41</v>
      </c>
      <c r="E255" s="35" t="s">
        <v>64</v>
      </c>
      <c r="F255" s="35" t="s">
        <v>1961</v>
      </c>
      <c r="G255" s="55" t="s">
        <v>2049</v>
      </c>
    </row>
    <row r="256" spans="1:7" ht="12.5" x14ac:dyDescent="0.25">
      <c r="A256" s="54">
        <v>255</v>
      </c>
      <c r="B256" s="35" t="s">
        <v>2050</v>
      </c>
      <c r="C256" s="35" t="s">
        <v>16</v>
      </c>
      <c r="D256" s="35" t="s">
        <v>41</v>
      </c>
      <c r="E256" s="35" t="s">
        <v>415</v>
      </c>
      <c r="F256" s="35" t="s">
        <v>1961</v>
      </c>
      <c r="G256" s="55" t="s">
        <v>2051</v>
      </c>
    </row>
    <row r="257" spans="1:7" ht="12.5" x14ac:dyDescent="0.25">
      <c r="A257" s="54">
        <v>256</v>
      </c>
      <c r="B257" s="35" t="s">
        <v>2010</v>
      </c>
      <c r="C257" s="35" t="s">
        <v>50</v>
      </c>
      <c r="D257" s="35" t="s">
        <v>41</v>
      </c>
      <c r="E257" s="35" t="s">
        <v>138</v>
      </c>
      <c r="F257" s="35" t="s">
        <v>1998</v>
      </c>
      <c r="G257" s="55" t="s">
        <v>2052</v>
      </c>
    </row>
    <row r="258" spans="1:7" ht="12.5" x14ac:dyDescent="0.25">
      <c r="A258" s="54">
        <v>257</v>
      </c>
      <c r="B258" s="35" t="s">
        <v>2026</v>
      </c>
      <c r="C258" s="35" t="s">
        <v>50</v>
      </c>
      <c r="D258" s="35" t="s">
        <v>41</v>
      </c>
      <c r="E258" s="35" t="s">
        <v>138</v>
      </c>
      <c r="F258" s="35" t="s">
        <v>2013</v>
      </c>
      <c r="G258" s="55" t="s">
        <v>2053</v>
      </c>
    </row>
    <row r="259" spans="1:7" ht="12.5" x14ac:dyDescent="0.25">
      <c r="A259" s="54">
        <v>258</v>
      </c>
      <c r="B259" s="35" t="s">
        <v>2033</v>
      </c>
      <c r="C259" s="35" t="s">
        <v>50</v>
      </c>
      <c r="D259" s="35" t="s">
        <v>41</v>
      </c>
      <c r="E259" s="35" t="s">
        <v>138</v>
      </c>
      <c r="F259" s="35" t="s">
        <v>2002</v>
      </c>
      <c r="G259" s="55" t="s">
        <v>2054</v>
      </c>
    </row>
    <row r="260" spans="1:7" ht="12.5" x14ac:dyDescent="0.25">
      <c r="A260" s="54">
        <v>259</v>
      </c>
      <c r="B260" s="35" t="s">
        <v>2055</v>
      </c>
      <c r="C260" s="35" t="s">
        <v>16</v>
      </c>
      <c r="D260" s="35" t="s">
        <v>47</v>
      </c>
      <c r="E260" s="35" t="s">
        <v>239</v>
      </c>
      <c r="F260" s="35" t="s">
        <v>1961</v>
      </c>
      <c r="G260" s="55" t="s">
        <v>2056</v>
      </c>
    </row>
    <row r="261" spans="1:7" ht="12.5" x14ac:dyDescent="0.25">
      <c r="A261" s="54">
        <v>260</v>
      </c>
      <c r="B261" s="35" t="s">
        <v>2057</v>
      </c>
      <c r="C261" s="35" t="s">
        <v>16</v>
      </c>
      <c r="D261" s="35" t="s">
        <v>47</v>
      </c>
      <c r="E261" s="35" t="s">
        <v>132</v>
      </c>
      <c r="F261" s="35" t="s">
        <v>2008</v>
      </c>
      <c r="G261" s="55" t="s">
        <v>2058</v>
      </c>
    </row>
    <row r="262" spans="1:7" ht="12.5" x14ac:dyDescent="0.25">
      <c r="A262" s="54">
        <v>261</v>
      </c>
      <c r="B262" s="35" t="s">
        <v>2059</v>
      </c>
      <c r="C262" s="35" t="s">
        <v>16</v>
      </c>
      <c r="D262" s="35" t="s">
        <v>47</v>
      </c>
      <c r="E262" s="35" t="s">
        <v>268</v>
      </c>
      <c r="F262" s="35" t="s">
        <v>2008</v>
      </c>
      <c r="G262" s="55" t="s">
        <v>2060</v>
      </c>
    </row>
    <row r="263" spans="1:7" ht="12.5" x14ac:dyDescent="0.25">
      <c r="A263" s="54">
        <v>262</v>
      </c>
      <c r="B263" s="35" t="s">
        <v>2015</v>
      </c>
      <c r="C263" s="35" t="s">
        <v>50</v>
      </c>
      <c r="D263" s="35" t="s">
        <v>47</v>
      </c>
      <c r="E263" s="35" t="s">
        <v>423</v>
      </c>
      <c r="F263" s="35" t="s">
        <v>2061</v>
      </c>
      <c r="G263" s="55" t="s">
        <v>2062</v>
      </c>
    </row>
    <row r="264" spans="1:7" ht="12.5" x14ac:dyDescent="0.25">
      <c r="A264" s="54">
        <v>263</v>
      </c>
      <c r="B264" s="35" t="s">
        <v>2055</v>
      </c>
      <c r="C264" s="35" t="s">
        <v>50</v>
      </c>
      <c r="D264" s="35" t="s">
        <v>47</v>
      </c>
      <c r="E264" s="35" t="s">
        <v>423</v>
      </c>
      <c r="F264" s="35" t="s">
        <v>1961</v>
      </c>
      <c r="G264" s="55" t="s">
        <v>2063</v>
      </c>
    </row>
    <row r="265" spans="1:7" ht="12.5" x14ac:dyDescent="0.25">
      <c r="A265" s="54">
        <v>264</v>
      </c>
      <c r="B265" s="35" t="s">
        <v>2028</v>
      </c>
      <c r="C265" s="35" t="s">
        <v>50</v>
      </c>
      <c r="D265" s="35" t="s">
        <v>47</v>
      </c>
      <c r="E265" s="35" t="s">
        <v>423</v>
      </c>
      <c r="F265" s="35" t="s">
        <v>2013</v>
      </c>
      <c r="G265" s="55" t="s">
        <v>2064</v>
      </c>
    </row>
    <row r="266" spans="1:7" ht="12.5" x14ac:dyDescent="0.25">
      <c r="A266" s="54">
        <v>265</v>
      </c>
      <c r="B266" s="35" t="s">
        <v>2065</v>
      </c>
      <c r="C266" s="35" t="s">
        <v>16</v>
      </c>
      <c r="D266" s="35" t="s">
        <v>47</v>
      </c>
      <c r="E266" s="35" t="s">
        <v>385</v>
      </c>
      <c r="F266" s="35" t="s">
        <v>1983</v>
      </c>
      <c r="G266" s="55" t="s">
        <v>2066</v>
      </c>
    </row>
    <row r="267" spans="1:7" ht="12.5" x14ac:dyDescent="0.25">
      <c r="A267" s="54">
        <v>266</v>
      </c>
      <c r="B267" s="35" t="s">
        <v>2057</v>
      </c>
      <c r="C267" s="35" t="s">
        <v>50</v>
      </c>
      <c r="D267" s="35" t="s">
        <v>47</v>
      </c>
      <c r="E267" s="35" t="s">
        <v>49</v>
      </c>
      <c r="F267" s="35" t="s">
        <v>2008</v>
      </c>
      <c r="G267" s="55" t="s">
        <v>2067</v>
      </c>
    </row>
    <row r="268" spans="1:7" ht="12.5" x14ac:dyDescent="0.25">
      <c r="A268" s="54">
        <v>267</v>
      </c>
      <c r="B268" s="35" t="s">
        <v>2050</v>
      </c>
      <c r="C268" s="35" t="s">
        <v>50</v>
      </c>
      <c r="D268" s="35" t="s">
        <v>47</v>
      </c>
      <c r="E268" s="35" t="s">
        <v>49</v>
      </c>
      <c r="F268" s="35" t="s">
        <v>2061</v>
      </c>
      <c r="G268" s="55" t="s">
        <v>2068</v>
      </c>
    </row>
    <row r="269" spans="1:7" ht="12.5" x14ac:dyDescent="0.25">
      <c r="A269" s="54">
        <v>268</v>
      </c>
      <c r="B269" s="35" t="s">
        <v>2024</v>
      </c>
      <c r="C269" s="35" t="s">
        <v>50</v>
      </c>
      <c r="D269" s="35" t="s">
        <v>47</v>
      </c>
      <c r="E269" s="35" t="s">
        <v>224</v>
      </c>
      <c r="F269" s="35" t="s">
        <v>2069</v>
      </c>
      <c r="G269" s="55" t="s">
        <v>2070</v>
      </c>
    </row>
    <row r="270" spans="1:7" ht="12.5" x14ac:dyDescent="0.25">
      <c r="A270" s="54">
        <v>269</v>
      </c>
      <c r="B270" s="35" t="s">
        <v>2071</v>
      </c>
      <c r="C270" s="35" t="s">
        <v>16</v>
      </c>
      <c r="D270" s="35" t="s">
        <v>47</v>
      </c>
      <c r="E270" s="35" t="s">
        <v>415</v>
      </c>
      <c r="F270" s="35" t="s">
        <v>1998</v>
      </c>
      <c r="G270" s="55" t="s">
        <v>2072</v>
      </c>
    </row>
    <row r="271" spans="1:7" ht="12.5" x14ac:dyDescent="0.25">
      <c r="A271" s="54">
        <v>270</v>
      </c>
      <c r="B271" s="35" t="s">
        <v>2059</v>
      </c>
      <c r="C271" s="35" t="s">
        <v>50</v>
      </c>
      <c r="D271" s="35" t="s">
        <v>47</v>
      </c>
      <c r="E271" s="35" t="s">
        <v>138</v>
      </c>
      <c r="F271" s="35" t="s">
        <v>2073</v>
      </c>
      <c r="G271" s="55" t="s">
        <v>2074</v>
      </c>
    </row>
    <row r="272" spans="1:7" ht="12.5" x14ac:dyDescent="0.25">
      <c r="A272" s="54">
        <v>271</v>
      </c>
      <c r="B272" s="35" t="s">
        <v>2065</v>
      </c>
      <c r="C272" s="35" t="s">
        <v>50</v>
      </c>
      <c r="D272" s="35" t="s">
        <v>52</v>
      </c>
      <c r="E272" s="35" t="s">
        <v>92</v>
      </c>
      <c r="F272" s="35" t="s">
        <v>2013</v>
      </c>
      <c r="G272" s="55" t="s">
        <v>2075</v>
      </c>
    </row>
    <row r="273" spans="1:7" ht="12.5" x14ac:dyDescent="0.25">
      <c r="A273" s="54">
        <v>272</v>
      </c>
      <c r="B273" s="35" t="s">
        <v>2022</v>
      </c>
      <c r="C273" s="35" t="s">
        <v>50</v>
      </c>
      <c r="D273" s="35" t="s">
        <v>52</v>
      </c>
      <c r="E273" s="35" t="s">
        <v>426</v>
      </c>
      <c r="F273" s="35" t="s">
        <v>2008</v>
      </c>
      <c r="G273" s="55" t="s">
        <v>2076</v>
      </c>
    </row>
    <row r="274" spans="1:7" ht="12.5" x14ac:dyDescent="0.25">
      <c r="A274" s="54">
        <v>273</v>
      </c>
      <c r="B274" s="35" t="s">
        <v>2030</v>
      </c>
      <c r="C274" s="35" t="s">
        <v>50</v>
      </c>
      <c r="D274" s="35" t="s">
        <v>52</v>
      </c>
      <c r="E274" s="35" t="s">
        <v>49</v>
      </c>
      <c r="F274" s="35" t="s">
        <v>2077</v>
      </c>
      <c r="G274" s="55" t="s">
        <v>2078</v>
      </c>
    </row>
    <row r="275" spans="1:7" ht="12.5" x14ac:dyDescent="0.25">
      <c r="A275" s="54">
        <v>274</v>
      </c>
      <c r="B275" s="35" t="s">
        <v>2045</v>
      </c>
      <c r="C275" s="35" t="s">
        <v>50</v>
      </c>
      <c r="D275" s="35" t="s">
        <v>52</v>
      </c>
      <c r="E275" s="35" t="s">
        <v>224</v>
      </c>
      <c r="F275" s="35" t="s">
        <v>2013</v>
      </c>
      <c r="G275" s="55" t="s">
        <v>2079</v>
      </c>
    </row>
    <row r="276" spans="1:7" ht="12.5" x14ac:dyDescent="0.25">
      <c r="A276" s="54">
        <v>275</v>
      </c>
      <c r="B276" s="35" t="s">
        <v>2043</v>
      </c>
      <c r="C276" s="35" t="s">
        <v>50</v>
      </c>
      <c r="D276" s="35" t="s">
        <v>52</v>
      </c>
      <c r="E276" s="35" t="s">
        <v>138</v>
      </c>
      <c r="F276" s="35" t="s">
        <v>1998</v>
      </c>
      <c r="G276" s="55" t="s">
        <v>2080</v>
      </c>
    </row>
    <row r="277" spans="1:7" ht="12.5" x14ac:dyDescent="0.25">
      <c r="A277" s="54">
        <v>276</v>
      </c>
      <c r="B277" s="35" t="s">
        <v>2071</v>
      </c>
      <c r="C277" s="35" t="s">
        <v>50</v>
      </c>
      <c r="D277" s="35" t="s">
        <v>52</v>
      </c>
      <c r="E277" s="35" t="s">
        <v>138</v>
      </c>
      <c r="F277" s="35" t="s">
        <v>2039</v>
      </c>
      <c r="G277" s="55" t="s">
        <v>2081</v>
      </c>
    </row>
    <row r="278" spans="1:7" ht="12.5" x14ac:dyDescent="0.25">
      <c r="A278" s="54">
        <v>277</v>
      </c>
      <c r="B278" s="35" t="s">
        <v>2082</v>
      </c>
      <c r="C278" s="35" t="s">
        <v>16</v>
      </c>
      <c r="D278" s="35" t="s">
        <v>13</v>
      </c>
      <c r="E278" s="35" t="s">
        <v>239</v>
      </c>
      <c r="F278" s="35" t="s">
        <v>2039</v>
      </c>
      <c r="G278" s="55" t="s">
        <v>2083</v>
      </c>
    </row>
    <row r="279" spans="1:7" ht="12.5" x14ac:dyDescent="0.25">
      <c r="A279" s="54">
        <v>278</v>
      </c>
      <c r="B279" s="35" t="s">
        <v>2084</v>
      </c>
      <c r="C279" s="35" t="s">
        <v>16</v>
      </c>
      <c r="D279" s="35" t="s">
        <v>13</v>
      </c>
      <c r="E279" s="35" t="s">
        <v>14</v>
      </c>
      <c r="F279" s="35" t="s">
        <v>2039</v>
      </c>
      <c r="G279" s="55" t="s">
        <v>2085</v>
      </c>
    </row>
    <row r="280" spans="1:7" ht="12.5" x14ac:dyDescent="0.25">
      <c r="A280" s="54">
        <v>279</v>
      </c>
      <c r="B280" s="35" t="s">
        <v>2086</v>
      </c>
      <c r="C280" s="35" t="s">
        <v>16</v>
      </c>
      <c r="D280" s="35" t="s">
        <v>13</v>
      </c>
      <c r="E280" s="35" t="s">
        <v>25</v>
      </c>
      <c r="F280" s="35" t="s">
        <v>1961</v>
      </c>
      <c r="G280" s="55" t="s">
        <v>2087</v>
      </c>
    </row>
    <row r="281" spans="1:7" ht="12.5" x14ac:dyDescent="0.25">
      <c r="A281" s="54">
        <v>280</v>
      </c>
      <c r="B281" s="35" t="s">
        <v>2088</v>
      </c>
      <c r="C281" s="35" t="s">
        <v>16</v>
      </c>
      <c r="D281" s="35" t="s">
        <v>13</v>
      </c>
      <c r="E281" s="35" t="s">
        <v>25</v>
      </c>
      <c r="F281" s="35" t="s">
        <v>2039</v>
      </c>
      <c r="G281" s="55" t="s">
        <v>2089</v>
      </c>
    </row>
    <row r="282" spans="1:7" ht="12.5" x14ac:dyDescent="0.25">
      <c r="A282" s="54">
        <v>281</v>
      </c>
      <c r="B282" s="35" t="s">
        <v>2090</v>
      </c>
      <c r="C282" s="35" t="s">
        <v>16</v>
      </c>
      <c r="D282" s="35" t="s">
        <v>13</v>
      </c>
      <c r="E282" s="35" t="s">
        <v>64</v>
      </c>
      <c r="F282" s="35" t="s">
        <v>2039</v>
      </c>
      <c r="G282" s="55" t="s">
        <v>2091</v>
      </c>
    </row>
    <row r="283" spans="1:7" ht="12.5" x14ac:dyDescent="0.25">
      <c r="A283" s="54">
        <v>282</v>
      </c>
      <c r="B283" s="35" t="s">
        <v>2092</v>
      </c>
      <c r="C283" s="35" t="s">
        <v>16</v>
      </c>
      <c r="D283" s="35" t="s">
        <v>13</v>
      </c>
      <c r="E283" s="35" t="s">
        <v>415</v>
      </c>
      <c r="F283" s="35" t="s">
        <v>2039</v>
      </c>
      <c r="G283" s="55" t="s">
        <v>2093</v>
      </c>
    </row>
    <row r="284" spans="1:7" ht="12.5" x14ac:dyDescent="0.25">
      <c r="A284" s="54">
        <v>283</v>
      </c>
      <c r="B284" s="35" t="s">
        <v>2094</v>
      </c>
      <c r="C284" s="35" t="s">
        <v>16</v>
      </c>
      <c r="D284" s="35" t="s">
        <v>13</v>
      </c>
      <c r="E284" s="35" t="s">
        <v>101</v>
      </c>
      <c r="F284" s="35" t="s">
        <v>2095</v>
      </c>
      <c r="G284" s="55" t="s">
        <v>2096</v>
      </c>
    </row>
    <row r="285" spans="1:7" ht="12.5" x14ac:dyDescent="0.25">
      <c r="A285" s="54">
        <v>284</v>
      </c>
      <c r="B285" s="35" t="s">
        <v>2097</v>
      </c>
      <c r="C285" s="35" t="s">
        <v>16</v>
      </c>
      <c r="D285" s="35" t="s">
        <v>31</v>
      </c>
      <c r="E285" s="35" t="s">
        <v>132</v>
      </c>
      <c r="F285" s="35" t="s">
        <v>1961</v>
      </c>
      <c r="G285" s="55" t="s">
        <v>2098</v>
      </c>
    </row>
    <row r="286" spans="1:7" ht="12.5" x14ac:dyDescent="0.25">
      <c r="A286" s="54">
        <v>285</v>
      </c>
      <c r="B286" s="35" t="s">
        <v>2099</v>
      </c>
      <c r="C286" s="35" t="s">
        <v>16</v>
      </c>
      <c r="D286" s="35" t="s">
        <v>31</v>
      </c>
      <c r="E286" s="35" t="s">
        <v>261</v>
      </c>
      <c r="F286" s="35" t="s">
        <v>2039</v>
      </c>
      <c r="G286" s="55" t="s">
        <v>2100</v>
      </c>
    </row>
    <row r="287" spans="1:7" ht="12.5" x14ac:dyDescent="0.25">
      <c r="A287" s="54">
        <v>286</v>
      </c>
      <c r="B287" s="35" t="s">
        <v>2101</v>
      </c>
      <c r="C287" s="35" t="s">
        <v>16</v>
      </c>
      <c r="D287" s="35" t="s">
        <v>31</v>
      </c>
      <c r="E287" s="35" t="s">
        <v>191</v>
      </c>
      <c r="F287" s="35" t="s">
        <v>2039</v>
      </c>
      <c r="G287" s="55" t="s">
        <v>2102</v>
      </c>
    </row>
    <row r="288" spans="1:7" ht="12.5" x14ac:dyDescent="0.25">
      <c r="A288" s="54">
        <v>287</v>
      </c>
      <c r="B288" s="35" t="s">
        <v>2103</v>
      </c>
      <c r="C288" s="35" t="s">
        <v>16</v>
      </c>
      <c r="D288" s="35" t="s">
        <v>31</v>
      </c>
      <c r="E288" s="35" t="s">
        <v>64</v>
      </c>
      <c r="F288" s="35" t="s">
        <v>2039</v>
      </c>
      <c r="G288" s="55" t="s">
        <v>2104</v>
      </c>
    </row>
    <row r="289" spans="1:7" ht="12.5" x14ac:dyDescent="0.25">
      <c r="A289" s="54">
        <v>288</v>
      </c>
      <c r="B289" s="35" t="s">
        <v>2105</v>
      </c>
      <c r="C289" s="35" t="s">
        <v>447</v>
      </c>
      <c r="D289" s="35" t="s">
        <v>41</v>
      </c>
      <c r="E289" s="35" t="s">
        <v>295</v>
      </c>
      <c r="F289" s="35" t="s">
        <v>2106</v>
      </c>
      <c r="G289" s="55" t="s">
        <v>2107</v>
      </c>
    </row>
    <row r="290" spans="1:7" ht="12.5" x14ac:dyDescent="0.25">
      <c r="A290" s="54">
        <v>289</v>
      </c>
      <c r="B290" s="35" t="s">
        <v>2108</v>
      </c>
      <c r="C290" s="35" t="s">
        <v>16</v>
      </c>
      <c r="D290" s="35" t="s">
        <v>41</v>
      </c>
      <c r="E290" s="35" t="s">
        <v>64</v>
      </c>
      <c r="F290" s="35" t="s">
        <v>2008</v>
      </c>
      <c r="G290" s="55" t="s">
        <v>2109</v>
      </c>
    </row>
    <row r="291" spans="1:7" ht="12.5" x14ac:dyDescent="0.25">
      <c r="A291" s="54">
        <v>290</v>
      </c>
      <c r="B291" s="35" t="s">
        <v>2105</v>
      </c>
      <c r="C291" s="35" t="s">
        <v>452</v>
      </c>
      <c r="D291" s="35" t="s">
        <v>41</v>
      </c>
      <c r="E291" s="35" t="s">
        <v>256</v>
      </c>
      <c r="F291" s="35" t="s">
        <v>2106</v>
      </c>
      <c r="G291" s="55" t="s">
        <v>2110</v>
      </c>
    </row>
    <row r="292" spans="1:7" ht="12.5" x14ac:dyDescent="0.25">
      <c r="A292" s="54">
        <v>291</v>
      </c>
      <c r="B292" s="35" t="s">
        <v>2099</v>
      </c>
      <c r="C292" s="35" t="s">
        <v>50</v>
      </c>
      <c r="D292" s="35" t="s">
        <v>41</v>
      </c>
      <c r="E292" s="35" t="s">
        <v>138</v>
      </c>
      <c r="F292" s="35" t="s">
        <v>2039</v>
      </c>
      <c r="G292" s="55" t="s">
        <v>2111</v>
      </c>
    </row>
    <row r="293" spans="1:7" ht="12.5" x14ac:dyDescent="0.25">
      <c r="A293" s="54">
        <v>292</v>
      </c>
      <c r="B293" s="35" t="s">
        <v>2112</v>
      </c>
      <c r="C293" s="35" t="s">
        <v>16</v>
      </c>
      <c r="D293" s="35" t="s">
        <v>47</v>
      </c>
      <c r="E293" s="35" t="s">
        <v>132</v>
      </c>
      <c r="F293" s="35" t="s">
        <v>2095</v>
      </c>
      <c r="G293" s="55" t="s">
        <v>2113</v>
      </c>
    </row>
    <row r="294" spans="1:7" ht="12.5" x14ac:dyDescent="0.25">
      <c r="A294" s="54">
        <v>293</v>
      </c>
      <c r="B294" s="35" t="s">
        <v>2114</v>
      </c>
      <c r="C294" s="35" t="s">
        <v>16</v>
      </c>
      <c r="D294" s="35" t="s">
        <v>47</v>
      </c>
      <c r="E294" s="35" t="s">
        <v>191</v>
      </c>
      <c r="F294" s="35" t="s">
        <v>2039</v>
      </c>
      <c r="G294" s="55" t="s">
        <v>2115</v>
      </c>
    </row>
    <row r="295" spans="1:7" ht="12.5" x14ac:dyDescent="0.25">
      <c r="A295" s="54">
        <v>294</v>
      </c>
      <c r="B295" s="35" t="s">
        <v>2112</v>
      </c>
      <c r="C295" s="35" t="s">
        <v>50</v>
      </c>
      <c r="D295" s="35" t="s">
        <v>47</v>
      </c>
      <c r="E295" s="35" t="s">
        <v>423</v>
      </c>
      <c r="F295" s="35" t="s">
        <v>1967</v>
      </c>
      <c r="G295" s="55" t="s">
        <v>2116</v>
      </c>
    </row>
    <row r="296" spans="1:7" ht="12.5" x14ac:dyDescent="0.25">
      <c r="A296" s="54">
        <v>295</v>
      </c>
      <c r="B296" s="35" t="s">
        <v>2117</v>
      </c>
      <c r="C296" s="35" t="s">
        <v>16</v>
      </c>
      <c r="D296" s="35" t="s">
        <v>47</v>
      </c>
      <c r="E296" s="35" t="s">
        <v>64</v>
      </c>
      <c r="F296" s="35" t="s">
        <v>1985</v>
      </c>
      <c r="G296" s="55" t="s">
        <v>2118</v>
      </c>
    </row>
    <row r="297" spans="1:7" ht="12.5" x14ac:dyDescent="0.25">
      <c r="A297" s="54">
        <v>296</v>
      </c>
      <c r="B297" s="35" t="s">
        <v>2119</v>
      </c>
      <c r="C297" s="35" t="s">
        <v>16</v>
      </c>
      <c r="D297" s="35" t="s">
        <v>47</v>
      </c>
      <c r="E297" s="35" t="s">
        <v>64</v>
      </c>
      <c r="F297" s="35" t="s">
        <v>2039</v>
      </c>
      <c r="G297" s="55" t="s">
        <v>2120</v>
      </c>
    </row>
    <row r="298" spans="1:7" ht="12.5" x14ac:dyDescent="0.25">
      <c r="A298" s="54">
        <v>297</v>
      </c>
      <c r="B298" s="35" t="s">
        <v>2092</v>
      </c>
      <c r="C298" s="35" t="s">
        <v>50</v>
      </c>
      <c r="D298" s="35" t="s">
        <v>47</v>
      </c>
      <c r="E298" s="35" t="s">
        <v>49</v>
      </c>
      <c r="F298" s="35" t="s">
        <v>1961</v>
      </c>
      <c r="G298" s="55" t="s">
        <v>2121</v>
      </c>
    </row>
    <row r="299" spans="1:7" ht="12.5" x14ac:dyDescent="0.25">
      <c r="A299" s="54">
        <v>298</v>
      </c>
      <c r="B299" s="35" t="s">
        <v>2122</v>
      </c>
      <c r="C299" s="35" t="s">
        <v>16</v>
      </c>
      <c r="D299" s="35" t="s">
        <v>47</v>
      </c>
      <c r="E299" s="35" t="s">
        <v>101</v>
      </c>
      <c r="F299" s="35" t="s">
        <v>2039</v>
      </c>
      <c r="G299" s="55" t="s">
        <v>2123</v>
      </c>
    </row>
    <row r="300" spans="1:7" ht="12.5" x14ac:dyDescent="0.25">
      <c r="A300" s="54">
        <v>299</v>
      </c>
      <c r="B300" s="35" t="s">
        <v>2082</v>
      </c>
      <c r="C300" s="35" t="s">
        <v>50</v>
      </c>
      <c r="D300" s="35" t="s">
        <v>52</v>
      </c>
      <c r="E300" s="35" t="s">
        <v>92</v>
      </c>
      <c r="F300" s="35" t="s">
        <v>2039</v>
      </c>
      <c r="G300" s="55" t="s">
        <v>2124</v>
      </c>
    </row>
    <row r="301" spans="1:7" ht="12.5" x14ac:dyDescent="0.25">
      <c r="A301" s="54">
        <v>300</v>
      </c>
      <c r="B301" s="35" t="s">
        <v>2094</v>
      </c>
      <c r="C301" s="35" t="s">
        <v>50</v>
      </c>
      <c r="D301" s="35" t="s">
        <v>52</v>
      </c>
      <c r="E301" s="35" t="s">
        <v>426</v>
      </c>
      <c r="F301" s="35" t="s">
        <v>1961</v>
      </c>
      <c r="G301" s="55" t="s">
        <v>2125</v>
      </c>
    </row>
    <row r="302" spans="1:7" ht="12.5" x14ac:dyDescent="0.25">
      <c r="A302" s="54">
        <v>301</v>
      </c>
      <c r="B302" s="35" t="s">
        <v>2126</v>
      </c>
      <c r="C302" s="35" t="s">
        <v>16</v>
      </c>
      <c r="D302" s="35" t="s">
        <v>52</v>
      </c>
      <c r="E302" s="35" t="s">
        <v>461</v>
      </c>
      <c r="F302" s="35" t="s">
        <v>2061</v>
      </c>
      <c r="G302" s="55" t="s">
        <v>2127</v>
      </c>
    </row>
    <row r="303" spans="1:7" ht="12.5" x14ac:dyDescent="0.25">
      <c r="A303" s="54">
        <v>302</v>
      </c>
      <c r="B303" s="35" t="s">
        <v>2128</v>
      </c>
      <c r="C303" s="35" t="s">
        <v>16</v>
      </c>
      <c r="D303" s="35" t="s">
        <v>52</v>
      </c>
      <c r="E303" s="35" t="s">
        <v>235</v>
      </c>
      <c r="F303" s="35" t="s">
        <v>1983</v>
      </c>
      <c r="G303" s="55" t="s">
        <v>2129</v>
      </c>
    </row>
    <row r="304" spans="1:7" ht="12.5" x14ac:dyDescent="0.25">
      <c r="A304" s="54">
        <v>303</v>
      </c>
      <c r="B304" s="35" t="s">
        <v>2130</v>
      </c>
      <c r="C304" s="35" t="s">
        <v>16</v>
      </c>
      <c r="D304" s="35" t="s">
        <v>52</v>
      </c>
      <c r="E304" s="35" t="s">
        <v>101</v>
      </c>
      <c r="F304" s="35" t="s">
        <v>2131</v>
      </c>
      <c r="G304" s="55" t="s">
        <v>2132</v>
      </c>
    </row>
    <row r="305" spans="1:7" ht="12.5" x14ac:dyDescent="0.25">
      <c r="A305" s="54">
        <v>304</v>
      </c>
      <c r="B305" s="35" t="s">
        <v>2126</v>
      </c>
      <c r="C305" s="35" t="s">
        <v>50</v>
      </c>
      <c r="D305" s="35" t="s">
        <v>52</v>
      </c>
      <c r="E305" s="35" t="s">
        <v>138</v>
      </c>
      <c r="F305" s="35" t="s">
        <v>1961</v>
      </c>
      <c r="G305" s="55" t="s">
        <v>2133</v>
      </c>
    </row>
    <row r="306" spans="1:7" ht="12.5" x14ac:dyDescent="0.25">
      <c r="A306" s="54">
        <v>305</v>
      </c>
      <c r="B306" s="35" t="s">
        <v>2134</v>
      </c>
      <c r="C306" s="35" t="s">
        <v>16</v>
      </c>
      <c r="D306" s="35" t="s">
        <v>13</v>
      </c>
      <c r="E306" s="35" t="s">
        <v>14</v>
      </c>
      <c r="F306" s="35" t="s">
        <v>2061</v>
      </c>
      <c r="G306" s="55" t="s">
        <v>2135</v>
      </c>
    </row>
    <row r="307" spans="1:7" ht="12.5" x14ac:dyDescent="0.25">
      <c r="A307" s="54">
        <v>306</v>
      </c>
      <c r="B307" s="35" t="s">
        <v>2134</v>
      </c>
      <c r="C307" s="35" t="s">
        <v>50</v>
      </c>
      <c r="D307" s="35" t="s">
        <v>13</v>
      </c>
      <c r="E307" s="35" t="s">
        <v>147</v>
      </c>
      <c r="F307" s="35" t="s">
        <v>2061</v>
      </c>
      <c r="G307" s="55" t="s">
        <v>2136</v>
      </c>
    </row>
    <row r="308" spans="1:7" ht="12.5" x14ac:dyDescent="0.25">
      <c r="A308" s="54">
        <v>307</v>
      </c>
      <c r="B308" s="35" t="s">
        <v>2137</v>
      </c>
      <c r="C308" s="35" t="s">
        <v>16</v>
      </c>
      <c r="D308" s="35" t="s">
        <v>13</v>
      </c>
      <c r="E308" s="35" t="s">
        <v>64</v>
      </c>
      <c r="F308" s="35" t="s">
        <v>2061</v>
      </c>
      <c r="G308" s="55" t="s">
        <v>2138</v>
      </c>
    </row>
    <row r="309" spans="1:7" ht="12.5" x14ac:dyDescent="0.25">
      <c r="A309" s="54">
        <v>308</v>
      </c>
      <c r="B309" s="35" t="s">
        <v>2139</v>
      </c>
      <c r="C309" s="35" t="s">
        <v>16</v>
      </c>
      <c r="D309" s="35" t="s">
        <v>13</v>
      </c>
      <c r="E309" s="35" t="s">
        <v>64</v>
      </c>
      <c r="F309" s="35" t="s">
        <v>1981</v>
      </c>
      <c r="G309" s="55" t="s">
        <v>2140</v>
      </c>
    </row>
    <row r="310" spans="1:7" ht="12.5" x14ac:dyDescent="0.25">
      <c r="A310" s="54">
        <v>309</v>
      </c>
      <c r="B310" s="35" t="s">
        <v>2141</v>
      </c>
      <c r="C310" s="35" t="s">
        <v>16</v>
      </c>
      <c r="D310" s="35" t="s">
        <v>13</v>
      </c>
      <c r="E310" s="35" t="s">
        <v>64</v>
      </c>
      <c r="F310" s="35" t="s">
        <v>2008</v>
      </c>
      <c r="G310" s="55" t="s">
        <v>2142</v>
      </c>
    </row>
    <row r="311" spans="1:7" ht="12.5" x14ac:dyDescent="0.25">
      <c r="A311" s="54">
        <v>310</v>
      </c>
      <c r="B311" s="35" t="s">
        <v>2137</v>
      </c>
      <c r="C311" s="35" t="s">
        <v>50</v>
      </c>
      <c r="D311" s="35" t="s">
        <v>13</v>
      </c>
      <c r="E311" s="35" t="s">
        <v>138</v>
      </c>
      <c r="F311" s="35" t="s">
        <v>2061</v>
      </c>
      <c r="G311" s="55" t="s">
        <v>2143</v>
      </c>
    </row>
    <row r="312" spans="1:7" ht="12.5" x14ac:dyDescent="0.25">
      <c r="A312" s="54">
        <v>311</v>
      </c>
      <c r="B312" s="35" t="s">
        <v>2139</v>
      </c>
      <c r="C312" s="35" t="s">
        <v>50</v>
      </c>
      <c r="D312" s="35" t="s">
        <v>13</v>
      </c>
      <c r="E312" s="35" t="s">
        <v>138</v>
      </c>
      <c r="F312" s="35" t="s">
        <v>2144</v>
      </c>
      <c r="G312" s="55" t="s">
        <v>2145</v>
      </c>
    </row>
    <row r="313" spans="1:7" ht="12.5" x14ac:dyDescent="0.25">
      <c r="A313" s="54">
        <v>312</v>
      </c>
      <c r="B313" s="35" t="s">
        <v>2141</v>
      </c>
      <c r="C313" s="35" t="s">
        <v>50</v>
      </c>
      <c r="D313" s="35" t="s">
        <v>13</v>
      </c>
      <c r="E313" s="35" t="s">
        <v>138</v>
      </c>
      <c r="F313" s="35" t="s">
        <v>2077</v>
      </c>
      <c r="G313" s="55" t="s">
        <v>2146</v>
      </c>
    </row>
    <row r="314" spans="1:7" ht="12.5" x14ac:dyDescent="0.25">
      <c r="A314" s="54">
        <v>313</v>
      </c>
      <c r="B314" s="35" t="s">
        <v>2147</v>
      </c>
      <c r="C314" s="35" t="s">
        <v>16</v>
      </c>
      <c r="D314" s="35" t="s">
        <v>31</v>
      </c>
      <c r="E314" s="35" t="s">
        <v>14</v>
      </c>
      <c r="F314" s="35" t="s">
        <v>2061</v>
      </c>
      <c r="G314" s="55" t="s">
        <v>2148</v>
      </c>
    </row>
    <row r="315" spans="1:7" ht="12.5" x14ac:dyDescent="0.25">
      <c r="A315" s="54">
        <v>314</v>
      </c>
      <c r="B315" s="35" t="s">
        <v>2149</v>
      </c>
      <c r="C315" s="35" t="s">
        <v>16</v>
      </c>
      <c r="D315" s="35" t="s">
        <v>31</v>
      </c>
      <c r="E315" s="35" t="s">
        <v>25</v>
      </c>
      <c r="F315" s="35" t="s">
        <v>2061</v>
      </c>
      <c r="G315" s="55" t="s">
        <v>2150</v>
      </c>
    </row>
    <row r="316" spans="1:7" ht="12.5" x14ac:dyDescent="0.25">
      <c r="A316" s="54">
        <v>315</v>
      </c>
      <c r="B316" s="35" t="s">
        <v>2151</v>
      </c>
      <c r="C316" s="35" t="s">
        <v>16</v>
      </c>
      <c r="D316" s="35" t="s">
        <v>31</v>
      </c>
      <c r="E316" s="35" t="s">
        <v>25</v>
      </c>
      <c r="F316" s="35" t="s">
        <v>2152</v>
      </c>
      <c r="G316" s="55" t="s">
        <v>2153</v>
      </c>
    </row>
    <row r="317" spans="1:7" ht="12.5" x14ac:dyDescent="0.25">
      <c r="A317" s="54">
        <v>316</v>
      </c>
      <c r="B317" s="35" t="s">
        <v>2154</v>
      </c>
      <c r="C317" s="35" t="s">
        <v>16</v>
      </c>
      <c r="D317" s="35" t="s">
        <v>31</v>
      </c>
      <c r="E317" s="35" t="s">
        <v>25</v>
      </c>
      <c r="F317" s="35" t="s">
        <v>1967</v>
      </c>
      <c r="G317" s="55" t="s">
        <v>2155</v>
      </c>
    </row>
    <row r="318" spans="1:7" ht="12.5" x14ac:dyDescent="0.25">
      <c r="A318" s="54">
        <v>317</v>
      </c>
      <c r="B318" s="35" t="s">
        <v>2156</v>
      </c>
      <c r="C318" s="35" t="s">
        <v>16</v>
      </c>
      <c r="D318" s="35" t="s">
        <v>31</v>
      </c>
      <c r="E318" s="35" t="s">
        <v>64</v>
      </c>
      <c r="F318" s="35" t="s">
        <v>2061</v>
      </c>
      <c r="G318" s="55" t="s">
        <v>2157</v>
      </c>
    </row>
    <row r="319" spans="1:7" ht="12.5" x14ac:dyDescent="0.25">
      <c r="A319" s="54">
        <v>318</v>
      </c>
      <c r="B319" s="35" t="s">
        <v>2149</v>
      </c>
      <c r="C319" s="35" t="s">
        <v>50</v>
      </c>
      <c r="D319" s="35" t="s">
        <v>31</v>
      </c>
      <c r="E319" s="35" t="s">
        <v>138</v>
      </c>
      <c r="F319" s="35" t="s">
        <v>2095</v>
      </c>
      <c r="G319" s="55" t="s">
        <v>2158</v>
      </c>
    </row>
    <row r="320" spans="1:7" ht="12.5" x14ac:dyDescent="0.25">
      <c r="A320" s="54">
        <v>1</v>
      </c>
      <c r="B320" s="35" t="s">
        <v>2154</v>
      </c>
      <c r="C320" s="35" t="s">
        <v>50</v>
      </c>
      <c r="D320" s="35" t="s">
        <v>31</v>
      </c>
      <c r="E320" s="35" t="s">
        <v>138</v>
      </c>
      <c r="F320" s="35" t="s">
        <v>2159</v>
      </c>
      <c r="G320" s="55" t="s">
        <v>2160</v>
      </c>
    </row>
    <row r="321" spans="1:7" ht="12.5" x14ac:dyDescent="0.25">
      <c r="A321" s="54">
        <v>2</v>
      </c>
      <c r="B321" s="35" t="s">
        <v>2156</v>
      </c>
      <c r="C321" s="35" t="s">
        <v>50</v>
      </c>
      <c r="D321" s="35" t="s">
        <v>31</v>
      </c>
      <c r="E321" s="35" t="s">
        <v>138</v>
      </c>
      <c r="F321" s="35" t="s">
        <v>2161</v>
      </c>
      <c r="G321" s="55" t="s">
        <v>2162</v>
      </c>
    </row>
    <row r="322" spans="1:7" ht="12.5" x14ac:dyDescent="0.25">
      <c r="A322" s="54">
        <v>3</v>
      </c>
      <c r="B322" s="35" t="s">
        <v>2163</v>
      </c>
      <c r="C322" s="35" t="s">
        <v>16</v>
      </c>
      <c r="D322" s="35" t="s">
        <v>41</v>
      </c>
      <c r="E322" s="35" t="s">
        <v>14</v>
      </c>
      <c r="F322" s="35" t="s">
        <v>2061</v>
      </c>
      <c r="G322" s="55" t="s">
        <v>2164</v>
      </c>
    </row>
    <row r="323" spans="1:7" ht="12.5" x14ac:dyDescent="0.25">
      <c r="A323" s="54">
        <v>4</v>
      </c>
      <c r="B323" s="35" t="s">
        <v>2165</v>
      </c>
      <c r="C323" s="35" t="s">
        <v>50</v>
      </c>
      <c r="D323" s="35" t="s">
        <v>41</v>
      </c>
      <c r="E323" s="35" t="s">
        <v>487</v>
      </c>
      <c r="F323" s="35" t="s">
        <v>2144</v>
      </c>
      <c r="G323" s="55" t="s">
        <v>2166</v>
      </c>
    </row>
    <row r="324" spans="1:7" ht="12.5" x14ac:dyDescent="0.25">
      <c r="A324" s="54">
        <v>5</v>
      </c>
      <c r="B324" s="35" t="s">
        <v>2167</v>
      </c>
      <c r="C324" s="35" t="s">
        <v>16</v>
      </c>
      <c r="D324" s="35" t="s">
        <v>41</v>
      </c>
      <c r="E324" s="35" t="s">
        <v>64</v>
      </c>
      <c r="F324" s="35" t="s">
        <v>1970</v>
      </c>
      <c r="G324" s="55" t="s">
        <v>2168</v>
      </c>
    </row>
    <row r="325" spans="1:7" ht="12.5" x14ac:dyDescent="0.25">
      <c r="A325" s="54">
        <v>6</v>
      </c>
      <c r="B325" s="35" t="s">
        <v>2163</v>
      </c>
      <c r="C325" s="35" t="s">
        <v>50</v>
      </c>
      <c r="D325" s="35" t="s">
        <v>41</v>
      </c>
      <c r="E325" s="35" t="s">
        <v>138</v>
      </c>
      <c r="F325" s="35" t="s">
        <v>2169</v>
      </c>
      <c r="G325" s="55" t="s">
        <v>2170</v>
      </c>
    </row>
    <row r="326" spans="1:7" ht="12.5" x14ac:dyDescent="0.25">
      <c r="A326" s="54">
        <v>7</v>
      </c>
      <c r="B326" s="35" t="s">
        <v>2171</v>
      </c>
      <c r="C326" s="35" t="s">
        <v>16</v>
      </c>
      <c r="D326" s="35" t="s">
        <v>47</v>
      </c>
      <c r="E326" s="35" t="s">
        <v>14</v>
      </c>
      <c r="F326" s="35" t="s">
        <v>1970</v>
      </c>
      <c r="G326" s="55" t="s">
        <v>2172</v>
      </c>
    </row>
    <row r="327" spans="1:7" ht="12.5" x14ac:dyDescent="0.25">
      <c r="A327" s="54">
        <v>8</v>
      </c>
      <c r="B327" s="35" t="s">
        <v>2173</v>
      </c>
      <c r="C327" s="35" t="s">
        <v>16</v>
      </c>
      <c r="D327" s="35" t="s">
        <v>47</v>
      </c>
      <c r="E327" s="35" t="s">
        <v>14</v>
      </c>
      <c r="F327" s="35" t="s">
        <v>1970</v>
      </c>
      <c r="G327" s="55" t="s">
        <v>2174</v>
      </c>
    </row>
    <row r="328" spans="1:7" ht="12.5" x14ac:dyDescent="0.25">
      <c r="A328" s="54">
        <v>9</v>
      </c>
      <c r="B328" s="35" t="s">
        <v>2175</v>
      </c>
      <c r="C328" s="35" t="s">
        <v>16</v>
      </c>
      <c r="D328" s="35" t="s">
        <v>47</v>
      </c>
      <c r="E328" s="35" t="s">
        <v>14</v>
      </c>
      <c r="F328" s="35" t="s">
        <v>2061</v>
      </c>
      <c r="G328" s="55" t="s">
        <v>2176</v>
      </c>
    </row>
    <row r="329" spans="1:7" ht="12.5" x14ac:dyDescent="0.25">
      <c r="A329" s="54">
        <v>10</v>
      </c>
      <c r="B329" s="35" t="s">
        <v>2177</v>
      </c>
      <c r="C329" s="35" t="s">
        <v>16</v>
      </c>
      <c r="D329" s="35" t="s">
        <v>47</v>
      </c>
      <c r="E329" s="35" t="s">
        <v>25</v>
      </c>
      <c r="F329" s="35" t="s">
        <v>2073</v>
      </c>
      <c r="G329" s="55" t="s">
        <v>2178</v>
      </c>
    </row>
    <row r="330" spans="1:7" ht="12.5" x14ac:dyDescent="0.25">
      <c r="A330" s="54">
        <v>11</v>
      </c>
      <c r="B330" s="35" t="s">
        <v>2175</v>
      </c>
      <c r="C330" s="35" t="s">
        <v>50</v>
      </c>
      <c r="D330" s="35" t="s">
        <v>47</v>
      </c>
      <c r="E330" s="35" t="s">
        <v>147</v>
      </c>
      <c r="F330" s="35" t="s">
        <v>1970</v>
      </c>
      <c r="G330" s="55" t="s">
        <v>2179</v>
      </c>
    </row>
    <row r="331" spans="1:7" ht="12.5" x14ac:dyDescent="0.25">
      <c r="A331" s="54">
        <v>12</v>
      </c>
      <c r="B331" s="35" t="s">
        <v>2171</v>
      </c>
      <c r="C331" s="35" t="s">
        <v>50</v>
      </c>
      <c r="D331" s="35" t="s">
        <v>47</v>
      </c>
      <c r="E331" s="35" t="s">
        <v>49</v>
      </c>
      <c r="F331" s="35" t="s">
        <v>2180</v>
      </c>
      <c r="G331" s="55" t="s">
        <v>2181</v>
      </c>
    </row>
    <row r="332" spans="1:7" ht="12.5" x14ac:dyDescent="0.25">
      <c r="A332" s="54">
        <v>13</v>
      </c>
      <c r="B332" s="35" t="s">
        <v>2173</v>
      </c>
      <c r="C332" s="35" t="s">
        <v>50</v>
      </c>
      <c r="D332" s="35" t="s">
        <v>47</v>
      </c>
      <c r="E332" s="35" t="s">
        <v>49</v>
      </c>
      <c r="F332" s="35" t="s">
        <v>1988</v>
      </c>
      <c r="G332" s="55" t="s">
        <v>2182</v>
      </c>
    </row>
    <row r="333" spans="1:7" ht="12.5" x14ac:dyDescent="0.25">
      <c r="A333" s="54">
        <v>14</v>
      </c>
      <c r="B333" s="35" t="s">
        <v>2177</v>
      </c>
      <c r="C333" s="35" t="s">
        <v>50</v>
      </c>
      <c r="D333" s="35" t="s">
        <v>47</v>
      </c>
      <c r="E333" s="35" t="s">
        <v>138</v>
      </c>
      <c r="F333" s="35" t="s">
        <v>1973</v>
      </c>
      <c r="G333" s="55" t="s">
        <v>2183</v>
      </c>
    </row>
    <row r="334" spans="1:7" ht="12.5" x14ac:dyDescent="0.25">
      <c r="A334" s="54">
        <v>15</v>
      </c>
      <c r="B334" s="35" t="s">
        <v>2184</v>
      </c>
      <c r="C334" s="35" t="s">
        <v>16</v>
      </c>
      <c r="D334" s="35" t="s">
        <v>52</v>
      </c>
      <c r="E334" s="35" t="s">
        <v>14</v>
      </c>
      <c r="F334" s="35" t="s">
        <v>1985</v>
      </c>
      <c r="G334" s="55" t="s">
        <v>2185</v>
      </c>
    </row>
    <row r="335" spans="1:7" ht="12.5" x14ac:dyDescent="0.25">
      <c r="A335" s="54">
        <v>16</v>
      </c>
      <c r="B335" s="35" t="s">
        <v>2186</v>
      </c>
      <c r="C335" s="35" t="s">
        <v>16</v>
      </c>
      <c r="D335" s="35" t="s">
        <v>52</v>
      </c>
      <c r="E335" s="35" t="s">
        <v>14</v>
      </c>
      <c r="F335" s="35" t="s">
        <v>2061</v>
      </c>
      <c r="G335" s="55" t="s">
        <v>2187</v>
      </c>
    </row>
    <row r="336" spans="1:7" ht="12.5" x14ac:dyDescent="0.25">
      <c r="A336" s="54">
        <v>17</v>
      </c>
      <c r="B336" s="35" t="s">
        <v>2188</v>
      </c>
      <c r="C336" s="35" t="s">
        <v>16</v>
      </c>
      <c r="D336" s="35" t="s">
        <v>52</v>
      </c>
      <c r="E336" s="35" t="s">
        <v>25</v>
      </c>
      <c r="F336" s="35" t="s">
        <v>2061</v>
      </c>
      <c r="G336" s="55" t="s">
        <v>2189</v>
      </c>
    </row>
    <row r="337" spans="1:7" ht="12.5" x14ac:dyDescent="0.25">
      <c r="A337" s="54">
        <v>18</v>
      </c>
      <c r="B337" s="35" t="s">
        <v>2184</v>
      </c>
      <c r="C337" s="35" t="s">
        <v>50</v>
      </c>
      <c r="D337" s="35" t="s">
        <v>52</v>
      </c>
      <c r="E337" s="35" t="s">
        <v>49</v>
      </c>
      <c r="F337" s="35" t="s">
        <v>1981</v>
      </c>
      <c r="G337" s="55" t="s">
        <v>2190</v>
      </c>
    </row>
    <row r="338" spans="1:7" ht="12.5" x14ac:dyDescent="0.25">
      <c r="A338" s="54">
        <v>19</v>
      </c>
      <c r="B338" s="35" t="s">
        <v>2186</v>
      </c>
      <c r="C338" s="35" t="s">
        <v>50</v>
      </c>
      <c r="D338" s="35" t="s">
        <v>52</v>
      </c>
      <c r="E338" s="35" t="s">
        <v>49</v>
      </c>
      <c r="F338" s="35" t="s">
        <v>2013</v>
      </c>
      <c r="G338" s="55" t="s">
        <v>2191</v>
      </c>
    </row>
    <row r="339" spans="1:7" ht="12.5" x14ac:dyDescent="0.25">
      <c r="A339" s="54">
        <v>20</v>
      </c>
      <c r="B339" s="35" t="s">
        <v>2188</v>
      </c>
      <c r="C339" s="35" t="s">
        <v>50</v>
      </c>
      <c r="D339" s="35" t="s">
        <v>52</v>
      </c>
      <c r="E339" s="35" t="s">
        <v>502</v>
      </c>
      <c r="F339" s="35" t="s">
        <v>2131</v>
      </c>
      <c r="G339" s="55" t="s">
        <v>2192</v>
      </c>
    </row>
    <row r="340" spans="1:7" ht="12.5" x14ac:dyDescent="0.25">
      <c r="A340" s="54">
        <v>21</v>
      </c>
      <c r="B340" s="35" t="s">
        <v>2193</v>
      </c>
      <c r="C340" s="35" t="s">
        <v>16</v>
      </c>
      <c r="D340" s="35" t="s">
        <v>13</v>
      </c>
      <c r="E340" s="35" t="s">
        <v>14</v>
      </c>
      <c r="F340" s="35" t="s">
        <v>2194</v>
      </c>
      <c r="G340" s="55" t="s">
        <v>2195</v>
      </c>
    </row>
    <row r="341" spans="1:7" ht="12.5" x14ac:dyDescent="0.25">
      <c r="A341" s="54">
        <v>22</v>
      </c>
      <c r="B341" s="35" t="s">
        <v>2196</v>
      </c>
      <c r="C341" s="35" t="s">
        <v>16</v>
      </c>
      <c r="D341" s="35" t="s">
        <v>13</v>
      </c>
      <c r="E341" s="35" t="s">
        <v>14</v>
      </c>
      <c r="F341" s="35" t="s">
        <v>2197</v>
      </c>
      <c r="G341" s="55" t="s">
        <v>2198</v>
      </c>
    </row>
    <row r="342" spans="1:7" ht="12.5" x14ac:dyDescent="0.25">
      <c r="A342" s="54">
        <v>23</v>
      </c>
      <c r="B342" s="35" t="s">
        <v>2199</v>
      </c>
      <c r="C342" s="35" t="s">
        <v>16</v>
      </c>
      <c r="D342" s="35" t="s">
        <v>13</v>
      </c>
      <c r="E342" s="35" t="s">
        <v>191</v>
      </c>
      <c r="F342" s="35" t="s">
        <v>2077</v>
      </c>
      <c r="G342" s="55" t="s">
        <v>2200</v>
      </c>
    </row>
    <row r="343" spans="1:7" ht="12.5" x14ac:dyDescent="0.25">
      <c r="A343" s="54">
        <v>24</v>
      </c>
      <c r="B343" s="35" t="s">
        <v>2201</v>
      </c>
      <c r="C343" s="35" t="s">
        <v>16</v>
      </c>
      <c r="D343" s="35" t="s">
        <v>13</v>
      </c>
      <c r="E343" s="35" t="s">
        <v>64</v>
      </c>
      <c r="F343" s="35" t="s">
        <v>1958</v>
      </c>
      <c r="G343" s="55" t="s">
        <v>2202</v>
      </c>
    </row>
    <row r="344" spans="1:7" ht="12.5" x14ac:dyDescent="0.25">
      <c r="A344" s="54">
        <v>25</v>
      </c>
      <c r="B344" s="35" t="s">
        <v>2203</v>
      </c>
      <c r="C344" s="35" t="s">
        <v>16</v>
      </c>
      <c r="D344" s="35" t="s">
        <v>13</v>
      </c>
      <c r="E344" s="35" t="s">
        <v>210</v>
      </c>
      <c r="F344" s="35" t="s">
        <v>1985</v>
      </c>
      <c r="G344" s="55" t="s">
        <v>2204</v>
      </c>
    </row>
    <row r="345" spans="1:7" ht="12.5" x14ac:dyDescent="0.25">
      <c r="A345" s="54">
        <v>26</v>
      </c>
      <c r="B345" s="35" t="s">
        <v>2193</v>
      </c>
      <c r="C345" s="35" t="s">
        <v>50</v>
      </c>
      <c r="D345" s="35" t="s">
        <v>31</v>
      </c>
      <c r="E345" s="35" t="s">
        <v>426</v>
      </c>
      <c r="F345" s="35" t="s">
        <v>2194</v>
      </c>
      <c r="G345" s="55" t="s">
        <v>2205</v>
      </c>
    </row>
    <row r="346" spans="1:7" ht="12.5" x14ac:dyDescent="0.25">
      <c r="A346" s="54">
        <v>27</v>
      </c>
      <c r="B346" s="35" t="s">
        <v>2199</v>
      </c>
      <c r="C346" s="35" t="s">
        <v>50</v>
      </c>
      <c r="D346" s="35" t="s">
        <v>31</v>
      </c>
      <c r="E346" s="35" t="s">
        <v>256</v>
      </c>
      <c r="F346" s="35" t="s">
        <v>2206</v>
      </c>
      <c r="G346" s="55" t="s">
        <v>2207</v>
      </c>
    </row>
    <row r="347" spans="1:7" ht="12.5" x14ac:dyDescent="0.25">
      <c r="A347" s="54">
        <v>28</v>
      </c>
      <c r="B347" s="35" t="s">
        <v>2203</v>
      </c>
      <c r="C347" s="35" t="s">
        <v>50</v>
      </c>
      <c r="D347" s="35" t="s">
        <v>31</v>
      </c>
      <c r="E347" s="35" t="s">
        <v>502</v>
      </c>
      <c r="F347" s="35" t="s">
        <v>2161</v>
      </c>
      <c r="G347" s="55" t="s">
        <v>2208</v>
      </c>
    </row>
    <row r="348" spans="1:7" ht="12.5" x14ac:dyDescent="0.25">
      <c r="A348" s="54">
        <v>29</v>
      </c>
      <c r="B348" s="35" t="s">
        <v>2209</v>
      </c>
      <c r="C348" s="35" t="s">
        <v>16</v>
      </c>
      <c r="D348" s="35" t="s">
        <v>41</v>
      </c>
      <c r="E348" s="35" t="s">
        <v>14</v>
      </c>
      <c r="F348" s="35" t="s">
        <v>1958</v>
      </c>
      <c r="G348" s="55" t="s">
        <v>2210</v>
      </c>
    </row>
    <row r="349" spans="1:7" ht="12.5" x14ac:dyDescent="0.25">
      <c r="A349" s="54">
        <v>30</v>
      </c>
      <c r="B349" s="35" t="s">
        <v>2211</v>
      </c>
      <c r="C349" s="35" t="s">
        <v>16</v>
      </c>
      <c r="D349" s="35" t="s">
        <v>41</v>
      </c>
      <c r="E349" s="35" t="s">
        <v>14</v>
      </c>
      <c r="F349" s="35" t="s">
        <v>2194</v>
      </c>
      <c r="G349" s="55" t="s">
        <v>2212</v>
      </c>
    </row>
    <row r="350" spans="1:7" ht="12.5" x14ac:dyDescent="0.25">
      <c r="A350" s="54">
        <v>31</v>
      </c>
      <c r="B350" s="35" t="s">
        <v>2213</v>
      </c>
      <c r="C350" s="35" t="s">
        <v>16</v>
      </c>
      <c r="D350" s="35" t="s">
        <v>41</v>
      </c>
      <c r="E350" s="35" t="s">
        <v>14</v>
      </c>
      <c r="F350" s="35" t="s">
        <v>2206</v>
      </c>
      <c r="G350" s="55" t="s">
        <v>2214</v>
      </c>
    </row>
    <row r="351" spans="1:7" ht="12.5" x14ac:dyDescent="0.25">
      <c r="A351" s="54">
        <v>32</v>
      </c>
      <c r="B351" s="35" t="s">
        <v>2215</v>
      </c>
      <c r="C351" s="35" t="s">
        <v>16</v>
      </c>
      <c r="D351" s="35" t="s">
        <v>41</v>
      </c>
      <c r="E351" s="35" t="s">
        <v>14</v>
      </c>
      <c r="F351" s="35" t="s">
        <v>2197</v>
      </c>
      <c r="G351" s="55" t="s">
        <v>2216</v>
      </c>
    </row>
    <row r="352" spans="1:7" ht="12.5" x14ac:dyDescent="0.25">
      <c r="A352" s="54">
        <v>33</v>
      </c>
      <c r="B352" s="35" t="s">
        <v>2217</v>
      </c>
      <c r="C352" s="35" t="s">
        <v>16</v>
      </c>
      <c r="D352" s="35" t="s">
        <v>41</v>
      </c>
      <c r="E352" s="35" t="s">
        <v>64</v>
      </c>
      <c r="F352" s="35" t="s">
        <v>2206</v>
      </c>
      <c r="G352" s="55" t="s">
        <v>2218</v>
      </c>
    </row>
    <row r="353" spans="1:7" ht="12.5" x14ac:dyDescent="0.25">
      <c r="A353" s="54">
        <v>34</v>
      </c>
      <c r="B353" s="35" t="s">
        <v>2201</v>
      </c>
      <c r="C353" s="35" t="s">
        <v>50</v>
      </c>
      <c r="D353" s="35" t="s">
        <v>41</v>
      </c>
      <c r="E353" s="35" t="s">
        <v>49</v>
      </c>
      <c r="F353" s="35" t="s">
        <v>1958</v>
      </c>
      <c r="G353" s="55" t="s">
        <v>2219</v>
      </c>
    </row>
    <row r="354" spans="1:7" ht="12.5" x14ac:dyDescent="0.25">
      <c r="A354" s="54">
        <v>35</v>
      </c>
      <c r="B354" s="35" t="s">
        <v>2220</v>
      </c>
      <c r="C354" s="35" t="s">
        <v>16</v>
      </c>
      <c r="D354" s="35" t="s">
        <v>41</v>
      </c>
      <c r="E354" s="35" t="s">
        <v>198</v>
      </c>
      <c r="F354" s="35" t="s">
        <v>2008</v>
      </c>
      <c r="G354" s="55" t="s">
        <v>2221</v>
      </c>
    </row>
    <row r="355" spans="1:7" ht="12.5" x14ac:dyDescent="0.25">
      <c r="A355" s="54">
        <v>36</v>
      </c>
      <c r="B355" s="35" t="s">
        <v>2213</v>
      </c>
      <c r="C355" s="35" t="s">
        <v>50</v>
      </c>
      <c r="D355" s="35" t="s">
        <v>47</v>
      </c>
      <c r="E355" s="35" t="s">
        <v>530</v>
      </c>
      <c r="F355" s="35" t="s">
        <v>1958</v>
      </c>
      <c r="G355" s="55" t="s">
        <v>2222</v>
      </c>
    </row>
    <row r="356" spans="1:7" ht="12.5" x14ac:dyDescent="0.25">
      <c r="A356" s="54">
        <v>37</v>
      </c>
      <c r="B356" s="35" t="s">
        <v>2223</v>
      </c>
      <c r="C356" s="35" t="s">
        <v>16</v>
      </c>
      <c r="D356" s="35" t="s">
        <v>47</v>
      </c>
      <c r="E356" s="35" t="s">
        <v>14</v>
      </c>
      <c r="F356" s="35" t="s">
        <v>2206</v>
      </c>
      <c r="G356" s="55" t="s">
        <v>2224</v>
      </c>
    </row>
    <row r="357" spans="1:7" ht="12.5" x14ac:dyDescent="0.25">
      <c r="A357" s="54">
        <v>38</v>
      </c>
      <c r="B357" s="35" t="s">
        <v>2211</v>
      </c>
      <c r="C357" s="35" t="s">
        <v>50</v>
      </c>
      <c r="D357" s="35" t="s">
        <v>47</v>
      </c>
      <c r="E357" s="35" t="s">
        <v>426</v>
      </c>
      <c r="F357" s="35" t="s">
        <v>2194</v>
      </c>
      <c r="G357" s="55" t="s">
        <v>2225</v>
      </c>
    </row>
    <row r="358" spans="1:7" ht="12.5" x14ac:dyDescent="0.25">
      <c r="A358" s="54">
        <v>39</v>
      </c>
      <c r="B358" s="35" t="s">
        <v>2215</v>
      </c>
      <c r="C358" s="35" t="s">
        <v>50</v>
      </c>
      <c r="D358" s="35" t="s">
        <v>47</v>
      </c>
      <c r="E358" s="35" t="s">
        <v>426</v>
      </c>
      <c r="F358" s="35" t="s">
        <v>2197</v>
      </c>
      <c r="G358" s="55" t="s">
        <v>2226</v>
      </c>
    </row>
    <row r="359" spans="1:7" ht="12.5" x14ac:dyDescent="0.25">
      <c r="A359" s="54">
        <v>40</v>
      </c>
      <c r="B359" s="35" t="s">
        <v>2227</v>
      </c>
      <c r="C359" s="35" t="s">
        <v>16</v>
      </c>
      <c r="D359" s="35" t="s">
        <v>47</v>
      </c>
      <c r="E359" s="35" t="s">
        <v>533</v>
      </c>
      <c r="F359" s="35" t="s">
        <v>1958</v>
      </c>
      <c r="G359" s="55" t="s">
        <v>2228</v>
      </c>
    </row>
    <row r="360" spans="1:7" ht="12.5" x14ac:dyDescent="0.25">
      <c r="A360" s="54">
        <v>41</v>
      </c>
      <c r="B360" s="35" t="s">
        <v>2229</v>
      </c>
      <c r="C360" s="35" t="s">
        <v>16</v>
      </c>
      <c r="D360" s="35" t="s">
        <v>47</v>
      </c>
      <c r="E360" s="35" t="s">
        <v>64</v>
      </c>
      <c r="F360" s="35" t="s">
        <v>2206</v>
      </c>
      <c r="G360" s="55" t="s">
        <v>2230</v>
      </c>
    </row>
    <row r="361" spans="1:7" ht="12.5" x14ac:dyDescent="0.25">
      <c r="A361" s="54">
        <v>42</v>
      </c>
      <c r="B361" s="35" t="s">
        <v>2209</v>
      </c>
      <c r="C361" s="35" t="s">
        <v>50</v>
      </c>
      <c r="D361" s="35" t="s">
        <v>47</v>
      </c>
      <c r="E361" s="35" t="s">
        <v>49</v>
      </c>
      <c r="F361" s="35" t="s">
        <v>1958</v>
      </c>
      <c r="G361" s="55" t="s">
        <v>2231</v>
      </c>
    </row>
    <row r="362" spans="1:7" ht="12.5" x14ac:dyDescent="0.25">
      <c r="A362" s="54">
        <v>43</v>
      </c>
      <c r="B362" s="35" t="s">
        <v>2220</v>
      </c>
      <c r="C362" s="35" t="s">
        <v>50</v>
      </c>
      <c r="D362" s="35" t="s">
        <v>47</v>
      </c>
      <c r="E362" s="35" t="s">
        <v>502</v>
      </c>
      <c r="F362" s="35" t="s">
        <v>2194</v>
      </c>
      <c r="G362" s="55" t="s">
        <v>2232</v>
      </c>
    </row>
    <row r="363" spans="1:7" ht="12.5" x14ac:dyDescent="0.25">
      <c r="A363" s="54">
        <v>44</v>
      </c>
      <c r="B363" s="35" t="s">
        <v>2233</v>
      </c>
      <c r="C363" s="35" t="s">
        <v>16</v>
      </c>
      <c r="D363" s="35" t="s">
        <v>52</v>
      </c>
      <c r="E363" s="35" t="s">
        <v>14</v>
      </c>
      <c r="F363" s="35" t="s">
        <v>1958</v>
      </c>
      <c r="G363" s="55" t="s">
        <v>2234</v>
      </c>
    </row>
    <row r="364" spans="1:7" ht="12.5" x14ac:dyDescent="0.25">
      <c r="A364" s="54">
        <v>45</v>
      </c>
      <c r="B364" s="35" t="s">
        <v>2217</v>
      </c>
      <c r="C364" s="35" t="s">
        <v>50</v>
      </c>
      <c r="D364" s="35" t="s">
        <v>52</v>
      </c>
      <c r="E364" s="35" t="s">
        <v>426</v>
      </c>
      <c r="F364" s="35" t="s">
        <v>2206</v>
      </c>
      <c r="G364" s="55" t="s">
        <v>2235</v>
      </c>
    </row>
    <row r="365" spans="1:7" ht="12.5" x14ac:dyDescent="0.25">
      <c r="A365" s="54">
        <v>46</v>
      </c>
      <c r="B365" s="35" t="s">
        <v>2236</v>
      </c>
      <c r="C365" s="35" t="s">
        <v>16</v>
      </c>
      <c r="D365" s="35" t="s">
        <v>52</v>
      </c>
      <c r="E365" s="35" t="s">
        <v>38</v>
      </c>
      <c r="F365" s="35" t="s">
        <v>2206</v>
      </c>
      <c r="G365" s="55" t="s">
        <v>2237</v>
      </c>
    </row>
    <row r="366" spans="1:7" ht="12.5" x14ac:dyDescent="0.25">
      <c r="A366" s="54">
        <v>47</v>
      </c>
      <c r="B366" s="35" t="s">
        <v>2223</v>
      </c>
      <c r="C366" s="35" t="s">
        <v>50</v>
      </c>
      <c r="D366" s="35" t="s">
        <v>52</v>
      </c>
      <c r="E366" s="35" t="s">
        <v>224</v>
      </c>
      <c r="F366" s="35" t="s">
        <v>2194</v>
      </c>
      <c r="G366" s="55" t="s">
        <v>2238</v>
      </c>
    </row>
    <row r="367" spans="1:7" ht="12.5" x14ac:dyDescent="0.25">
      <c r="A367" s="54">
        <v>48</v>
      </c>
      <c r="B367" s="35" t="s">
        <v>2227</v>
      </c>
      <c r="C367" s="35" t="s">
        <v>50</v>
      </c>
      <c r="D367" s="35" t="s">
        <v>52</v>
      </c>
      <c r="E367" s="35" t="s">
        <v>206</v>
      </c>
      <c r="F367" s="35" t="s">
        <v>1958</v>
      </c>
      <c r="G367" s="55" t="s">
        <v>2239</v>
      </c>
    </row>
    <row r="368" spans="1:7" ht="12.5" x14ac:dyDescent="0.25">
      <c r="A368" s="54">
        <v>49</v>
      </c>
      <c r="B368" s="35" t="s">
        <v>2240</v>
      </c>
      <c r="C368" s="35" t="s">
        <v>16</v>
      </c>
      <c r="D368" s="35" t="s">
        <v>13</v>
      </c>
      <c r="E368" s="35" t="s">
        <v>14</v>
      </c>
      <c r="F368" s="35" t="s">
        <v>2073</v>
      </c>
      <c r="G368" s="55" t="s">
        <v>2241</v>
      </c>
    </row>
    <row r="369" spans="1:7" ht="12.5" x14ac:dyDescent="0.25">
      <c r="A369" s="54">
        <v>50</v>
      </c>
      <c r="B369" s="35" t="s">
        <v>2242</v>
      </c>
      <c r="C369" s="35" t="s">
        <v>16</v>
      </c>
      <c r="D369" s="35" t="s">
        <v>13</v>
      </c>
      <c r="E369" s="35" t="s">
        <v>14</v>
      </c>
      <c r="F369" s="35" t="s">
        <v>1961</v>
      </c>
      <c r="G369" s="55" t="s">
        <v>2243</v>
      </c>
    </row>
    <row r="370" spans="1:7" ht="12.5" x14ac:dyDescent="0.25">
      <c r="A370" s="54">
        <v>51</v>
      </c>
      <c r="B370" s="35" t="s">
        <v>2244</v>
      </c>
      <c r="C370" s="35" t="s">
        <v>16</v>
      </c>
      <c r="D370" s="35" t="s">
        <v>13</v>
      </c>
      <c r="E370" s="35" t="s">
        <v>25</v>
      </c>
      <c r="F370" s="35" t="s">
        <v>1996</v>
      </c>
      <c r="G370" s="55" t="s">
        <v>2245</v>
      </c>
    </row>
    <row r="371" spans="1:7" ht="12.5" x14ac:dyDescent="0.25">
      <c r="A371" s="54">
        <v>52</v>
      </c>
      <c r="B371" s="35" t="s">
        <v>2246</v>
      </c>
      <c r="C371" s="35" t="s">
        <v>16</v>
      </c>
      <c r="D371" s="35" t="s">
        <v>13</v>
      </c>
      <c r="E371" s="35" t="s">
        <v>25</v>
      </c>
      <c r="F371" s="35" t="s">
        <v>1996</v>
      </c>
      <c r="G371" s="55" t="s">
        <v>2247</v>
      </c>
    </row>
    <row r="372" spans="1:7" ht="12.5" x14ac:dyDescent="0.25">
      <c r="A372" s="54">
        <v>53</v>
      </c>
      <c r="B372" s="35" t="s">
        <v>2248</v>
      </c>
      <c r="C372" s="35" t="s">
        <v>16</v>
      </c>
      <c r="D372" s="35" t="s">
        <v>13</v>
      </c>
      <c r="E372" s="35" t="s">
        <v>25</v>
      </c>
      <c r="F372" s="35" t="s">
        <v>1998</v>
      </c>
      <c r="G372" s="55" t="s">
        <v>2249</v>
      </c>
    </row>
    <row r="373" spans="1:7" ht="12.5" x14ac:dyDescent="0.25">
      <c r="A373" s="54">
        <v>54</v>
      </c>
      <c r="B373" s="35" t="s">
        <v>2244</v>
      </c>
      <c r="C373" s="35" t="s">
        <v>50</v>
      </c>
      <c r="D373" s="35" t="s">
        <v>13</v>
      </c>
      <c r="E373" s="35" t="s">
        <v>256</v>
      </c>
      <c r="F373" s="35" t="s">
        <v>2077</v>
      </c>
      <c r="G373" s="55" t="s">
        <v>2250</v>
      </c>
    </row>
    <row r="374" spans="1:7" ht="12.5" x14ac:dyDescent="0.25">
      <c r="A374" s="54">
        <v>55</v>
      </c>
      <c r="B374" s="35" t="s">
        <v>2246</v>
      </c>
      <c r="C374" s="35" t="s">
        <v>50</v>
      </c>
      <c r="D374" s="35" t="s">
        <v>13</v>
      </c>
      <c r="E374" s="35" t="s">
        <v>256</v>
      </c>
      <c r="F374" s="35" t="s">
        <v>2069</v>
      </c>
      <c r="G374" s="55" t="s">
        <v>2251</v>
      </c>
    </row>
    <row r="375" spans="1:7" ht="12.5" x14ac:dyDescent="0.25">
      <c r="A375" s="54">
        <v>56</v>
      </c>
      <c r="B375" s="35" t="s">
        <v>2248</v>
      </c>
      <c r="C375" s="35" t="s">
        <v>50</v>
      </c>
      <c r="D375" s="35" t="s">
        <v>13</v>
      </c>
      <c r="E375" s="35" t="s">
        <v>256</v>
      </c>
      <c r="F375" s="35" t="s">
        <v>1983</v>
      </c>
      <c r="G375" s="55" t="s">
        <v>2252</v>
      </c>
    </row>
    <row r="376" spans="1:7" ht="12.5" x14ac:dyDescent="0.25">
      <c r="A376" s="54">
        <v>57</v>
      </c>
      <c r="B376" s="35" t="s">
        <v>2253</v>
      </c>
      <c r="C376" s="35" t="s">
        <v>16</v>
      </c>
      <c r="D376" s="35" t="s">
        <v>31</v>
      </c>
      <c r="E376" s="35" t="s">
        <v>14</v>
      </c>
      <c r="F376" s="35" t="s">
        <v>2169</v>
      </c>
      <c r="G376" s="55" t="s">
        <v>2254</v>
      </c>
    </row>
    <row r="377" spans="1:7" ht="12.5" x14ac:dyDescent="0.25">
      <c r="A377" s="54">
        <v>58</v>
      </c>
      <c r="B377" s="35" t="s">
        <v>2255</v>
      </c>
      <c r="C377" s="35" t="s">
        <v>16</v>
      </c>
      <c r="D377" s="35" t="s">
        <v>31</v>
      </c>
      <c r="E377" s="35" t="s">
        <v>25</v>
      </c>
      <c r="F377" s="35" t="s">
        <v>2013</v>
      </c>
      <c r="G377" s="55" t="s">
        <v>2256</v>
      </c>
    </row>
    <row r="378" spans="1:7" ht="12.5" x14ac:dyDescent="0.25">
      <c r="A378" s="54">
        <v>59</v>
      </c>
      <c r="B378" s="35" t="s">
        <v>2257</v>
      </c>
      <c r="C378" s="35" t="s">
        <v>16</v>
      </c>
      <c r="D378" s="35" t="s">
        <v>31</v>
      </c>
      <c r="E378" s="35" t="s">
        <v>25</v>
      </c>
      <c r="F378" s="35" t="s">
        <v>2008</v>
      </c>
      <c r="G378" s="55" t="s">
        <v>2258</v>
      </c>
    </row>
    <row r="379" spans="1:7" ht="12.5" x14ac:dyDescent="0.25">
      <c r="A379" s="54">
        <v>60</v>
      </c>
      <c r="B379" s="35" t="s">
        <v>2255</v>
      </c>
      <c r="C379" s="35" t="s">
        <v>50</v>
      </c>
      <c r="D379" s="35" t="s">
        <v>31</v>
      </c>
      <c r="E379" s="35" t="s">
        <v>256</v>
      </c>
      <c r="F379" s="35" t="s">
        <v>2180</v>
      </c>
      <c r="G379" s="55" t="s">
        <v>2259</v>
      </c>
    </row>
    <row r="380" spans="1:7" ht="12.5" x14ac:dyDescent="0.25">
      <c r="A380" s="54">
        <v>61</v>
      </c>
      <c r="B380" s="35" t="s">
        <v>2253</v>
      </c>
      <c r="C380" s="35" t="s">
        <v>50</v>
      </c>
      <c r="D380" s="35" t="s">
        <v>31</v>
      </c>
      <c r="E380" s="35" t="s">
        <v>256</v>
      </c>
      <c r="F380" s="35" t="s">
        <v>2013</v>
      </c>
      <c r="G380" s="55" t="s">
        <v>2260</v>
      </c>
    </row>
    <row r="381" spans="1:7" ht="12.5" x14ac:dyDescent="0.25">
      <c r="A381" s="54">
        <v>62</v>
      </c>
      <c r="B381" s="35" t="s">
        <v>2257</v>
      </c>
      <c r="C381" s="35" t="s">
        <v>50</v>
      </c>
      <c r="D381" s="35" t="s">
        <v>31</v>
      </c>
      <c r="E381" s="35" t="s">
        <v>256</v>
      </c>
      <c r="F381" s="35" t="s">
        <v>1964</v>
      </c>
      <c r="G381" s="55" t="s">
        <v>2261</v>
      </c>
    </row>
    <row r="382" spans="1:7" ht="12.5" x14ac:dyDescent="0.25">
      <c r="A382" s="54">
        <v>63</v>
      </c>
      <c r="B382" s="35" t="s">
        <v>2262</v>
      </c>
      <c r="C382" s="35" t="s">
        <v>16</v>
      </c>
      <c r="D382" s="35" t="s">
        <v>41</v>
      </c>
      <c r="E382" s="35" t="s">
        <v>14</v>
      </c>
      <c r="F382" s="35" t="s">
        <v>2061</v>
      </c>
      <c r="G382" s="55" t="s">
        <v>2263</v>
      </c>
    </row>
    <row r="383" spans="1:7" ht="12.5" x14ac:dyDescent="0.25">
      <c r="A383" s="54">
        <v>64</v>
      </c>
      <c r="B383" s="35" t="s">
        <v>2264</v>
      </c>
      <c r="C383" s="35" t="s">
        <v>16</v>
      </c>
      <c r="D383" s="35" t="s">
        <v>41</v>
      </c>
      <c r="E383" s="35" t="s">
        <v>235</v>
      </c>
      <c r="F383" s="35" t="s">
        <v>1996</v>
      </c>
      <c r="G383" s="55" t="s">
        <v>2265</v>
      </c>
    </row>
    <row r="384" spans="1:7" ht="12.5" x14ac:dyDescent="0.25">
      <c r="A384" s="54">
        <v>65</v>
      </c>
      <c r="B384" s="35" t="s">
        <v>2266</v>
      </c>
      <c r="C384" s="35" t="s">
        <v>16</v>
      </c>
      <c r="D384" s="35" t="s">
        <v>41</v>
      </c>
      <c r="E384" s="35" t="s">
        <v>235</v>
      </c>
      <c r="F384" s="35" t="s">
        <v>1978</v>
      </c>
      <c r="G384" s="55" t="s">
        <v>2267</v>
      </c>
    </row>
    <row r="385" spans="1:7" ht="12.5" x14ac:dyDescent="0.25">
      <c r="A385" s="54">
        <v>66</v>
      </c>
      <c r="B385" s="35" t="s">
        <v>2262</v>
      </c>
      <c r="C385" s="35" t="s">
        <v>50</v>
      </c>
      <c r="D385" s="35" t="s">
        <v>41</v>
      </c>
      <c r="E385" s="35" t="s">
        <v>560</v>
      </c>
      <c r="F385" s="35" t="s">
        <v>2194</v>
      </c>
      <c r="G385" s="55" t="s">
        <v>2268</v>
      </c>
    </row>
    <row r="386" spans="1:7" ht="12.5" x14ac:dyDescent="0.25">
      <c r="A386" s="54">
        <v>67</v>
      </c>
      <c r="B386" s="35" t="s">
        <v>2269</v>
      </c>
      <c r="C386" s="35" t="s">
        <v>16</v>
      </c>
      <c r="D386" s="35" t="s">
        <v>47</v>
      </c>
      <c r="E386" s="35" t="s">
        <v>14</v>
      </c>
      <c r="F386" s="35" t="s">
        <v>2152</v>
      </c>
      <c r="G386" s="55" t="s">
        <v>2270</v>
      </c>
    </row>
    <row r="387" spans="1:7" ht="12.5" x14ac:dyDescent="0.25">
      <c r="A387" s="54">
        <v>68</v>
      </c>
      <c r="B387" s="35" t="s">
        <v>2271</v>
      </c>
      <c r="C387" s="35" t="s">
        <v>16</v>
      </c>
      <c r="D387" s="35" t="s">
        <v>47</v>
      </c>
      <c r="E387" s="35" t="s">
        <v>25</v>
      </c>
      <c r="F387" s="35" t="s">
        <v>2144</v>
      </c>
      <c r="G387" s="55" t="s">
        <v>2272</v>
      </c>
    </row>
    <row r="388" spans="1:7" ht="12.5" x14ac:dyDescent="0.25">
      <c r="A388" s="54">
        <v>69</v>
      </c>
      <c r="B388" s="35" t="s">
        <v>2273</v>
      </c>
      <c r="C388" s="35" t="s">
        <v>16</v>
      </c>
      <c r="D388" s="35" t="s">
        <v>47</v>
      </c>
      <c r="E388" s="35" t="s">
        <v>25</v>
      </c>
      <c r="F388" s="35" t="s">
        <v>2144</v>
      </c>
      <c r="G388" s="55" t="s">
        <v>2274</v>
      </c>
    </row>
    <row r="389" spans="1:7" ht="12.5" x14ac:dyDescent="0.25">
      <c r="A389" s="54">
        <v>70</v>
      </c>
      <c r="B389" s="35" t="s">
        <v>2269</v>
      </c>
      <c r="C389" s="35" t="s">
        <v>50</v>
      </c>
      <c r="D389" s="35" t="s">
        <v>47</v>
      </c>
      <c r="E389" s="35" t="s">
        <v>281</v>
      </c>
      <c r="F389" s="35" t="s">
        <v>2034</v>
      </c>
      <c r="G389" s="55" t="s">
        <v>2275</v>
      </c>
    </row>
    <row r="390" spans="1:7" ht="12.5" x14ac:dyDescent="0.25">
      <c r="A390" s="54">
        <v>71</v>
      </c>
      <c r="B390" s="35" t="s">
        <v>2276</v>
      </c>
      <c r="C390" s="35" t="s">
        <v>16</v>
      </c>
      <c r="D390" s="35" t="s">
        <v>47</v>
      </c>
      <c r="E390" s="35" t="s">
        <v>64</v>
      </c>
      <c r="F390" s="35" t="s">
        <v>1967</v>
      </c>
      <c r="G390" s="55" t="s">
        <v>2277</v>
      </c>
    </row>
    <row r="391" spans="1:7" ht="12.5" x14ac:dyDescent="0.25">
      <c r="A391" s="54">
        <v>72</v>
      </c>
      <c r="B391" s="35" t="s">
        <v>2271</v>
      </c>
      <c r="C391" s="35" t="s">
        <v>50</v>
      </c>
      <c r="D391" s="35" t="s">
        <v>47</v>
      </c>
      <c r="E391" s="35" t="s">
        <v>256</v>
      </c>
      <c r="F391" s="35" t="s">
        <v>2013</v>
      </c>
      <c r="G391" s="55" t="s">
        <v>2278</v>
      </c>
    </row>
    <row r="392" spans="1:7" ht="12.5" x14ac:dyDescent="0.25">
      <c r="A392" s="54">
        <v>73</v>
      </c>
      <c r="B392" s="35" t="s">
        <v>2276</v>
      </c>
      <c r="C392" s="35" t="s">
        <v>50</v>
      </c>
      <c r="D392" s="35" t="s">
        <v>47</v>
      </c>
      <c r="E392" s="35" t="s">
        <v>560</v>
      </c>
      <c r="F392" s="35" t="s">
        <v>1988</v>
      </c>
      <c r="G392" s="55" t="s">
        <v>2279</v>
      </c>
    </row>
    <row r="393" spans="1:7" ht="12.5" x14ac:dyDescent="0.25">
      <c r="A393" s="54">
        <v>74</v>
      </c>
      <c r="B393" s="35" t="s">
        <v>2280</v>
      </c>
      <c r="C393" s="35" t="s">
        <v>16</v>
      </c>
      <c r="D393" s="35" t="s">
        <v>52</v>
      </c>
      <c r="E393" s="35" t="s">
        <v>14</v>
      </c>
      <c r="F393" s="35" t="s">
        <v>1996</v>
      </c>
      <c r="G393" s="55" t="s">
        <v>2281</v>
      </c>
    </row>
    <row r="394" spans="1:7" ht="12.5" x14ac:dyDescent="0.25">
      <c r="A394" s="54">
        <v>75</v>
      </c>
      <c r="B394" s="35" t="s">
        <v>2264</v>
      </c>
      <c r="C394" s="35" t="s">
        <v>50</v>
      </c>
      <c r="D394" s="35" t="s">
        <v>52</v>
      </c>
      <c r="E394" s="35" t="s">
        <v>19</v>
      </c>
      <c r="F394" s="35" t="s">
        <v>2169</v>
      </c>
      <c r="G394" s="55" t="s">
        <v>2282</v>
      </c>
    </row>
    <row r="395" spans="1:7" ht="12.5" x14ac:dyDescent="0.25">
      <c r="A395" s="54">
        <v>76</v>
      </c>
      <c r="B395" s="35" t="s">
        <v>2266</v>
      </c>
      <c r="C395" s="35" t="s">
        <v>50</v>
      </c>
      <c r="D395" s="35" t="s">
        <v>52</v>
      </c>
      <c r="E395" s="35" t="s">
        <v>281</v>
      </c>
      <c r="F395" s="35" t="s">
        <v>2180</v>
      </c>
      <c r="G395" s="55" t="s">
        <v>2283</v>
      </c>
    </row>
    <row r="396" spans="1:7" ht="12.5" x14ac:dyDescent="0.25">
      <c r="A396" s="54">
        <v>77</v>
      </c>
      <c r="B396" s="35" t="s">
        <v>2280</v>
      </c>
      <c r="C396" s="35" t="s">
        <v>50</v>
      </c>
      <c r="D396" s="35" t="s">
        <v>52</v>
      </c>
      <c r="E396" s="35" t="s">
        <v>290</v>
      </c>
      <c r="F396" s="35" t="s">
        <v>2284</v>
      </c>
      <c r="G396" s="55" t="s">
        <v>2285</v>
      </c>
    </row>
    <row r="397" spans="1:7" ht="12.5" x14ac:dyDescent="0.25">
      <c r="A397" s="54">
        <v>78</v>
      </c>
      <c r="B397" s="35" t="s">
        <v>2286</v>
      </c>
      <c r="C397" s="35" t="s">
        <v>16</v>
      </c>
      <c r="D397" s="35" t="s">
        <v>13</v>
      </c>
      <c r="E397" s="35" t="s">
        <v>64</v>
      </c>
      <c r="F397" s="35" t="s">
        <v>2077</v>
      </c>
      <c r="G397" s="55" t="s">
        <v>2287</v>
      </c>
    </row>
    <row r="398" spans="1:7" ht="12.5" x14ac:dyDescent="0.25">
      <c r="A398" s="54">
        <v>79</v>
      </c>
      <c r="B398" s="35" t="s">
        <v>2288</v>
      </c>
      <c r="C398" s="35" t="s">
        <v>16</v>
      </c>
      <c r="D398" s="35" t="s">
        <v>13</v>
      </c>
      <c r="E398" s="35" t="s">
        <v>570</v>
      </c>
      <c r="F398" s="35" t="s">
        <v>2169</v>
      </c>
      <c r="G398" s="55" t="s">
        <v>2289</v>
      </c>
    </row>
    <row r="399" spans="1:7" ht="12.5" x14ac:dyDescent="0.25">
      <c r="A399" s="54">
        <v>80</v>
      </c>
      <c r="B399" s="35" t="s">
        <v>2286</v>
      </c>
      <c r="C399" s="35" t="s">
        <v>50</v>
      </c>
      <c r="D399" s="35" t="s">
        <v>13</v>
      </c>
      <c r="E399" s="35" t="s">
        <v>560</v>
      </c>
      <c r="F399" s="35" t="s">
        <v>2077</v>
      </c>
      <c r="G399" s="55" t="s">
        <v>2290</v>
      </c>
    </row>
    <row r="400" spans="1:7" ht="12.5" x14ac:dyDescent="0.25">
      <c r="A400" s="54">
        <v>81</v>
      </c>
      <c r="B400" s="35" t="s">
        <v>2288</v>
      </c>
      <c r="C400" s="35" t="s">
        <v>50</v>
      </c>
      <c r="D400" s="35" t="s">
        <v>13</v>
      </c>
      <c r="E400" s="35" t="s">
        <v>574</v>
      </c>
      <c r="F400" s="35" t="s">
        <v>2169</v>
      </c>
      <c r="G400" s="55" t="s">
        <v>2291</v>
      </c>
    </row>
    <row r="401" spans="1:7" ht="12.5" x14ac:dyDescent="0.25">
      <c r="A401" s="54">
        <v>82</v>
      </c>
      <c r="B401" s="35" t="s">
        <v>2292</v>
      </c>
      <c r="C401" s="35" t="s">
        <v>16</v>
      </c>
      <c r="D401" s="35" t="s">
        <v>31</v>
      </c>
      <c r="E401" s="35" t="s">
        <v>14</v>
      </c>
      <c r="F401" s="35" t="s">
        <v>2077</v>
      </c>
      <c r="G401" s="55" t="s">
        <v>2293</v>
      </c>
    </row>
    <row r="402" spans="1:7" ht="12.5" x14ac:dyDescent="0.25">
      <c r="A402" s="54">
        <v>83</v>
      </c>
      <c r="B402" s="35" t="s">
        <v>2294</v>
      </c>
      <c r="C402" s="35" t="s">
        <v>16</v>
      </c>
      <c r="D402" s="35" t="s">
        <v>31</v>
      </c>
      <c r="E402" s="35" t="s">
        <v>14</v>
      </c>
      <c r="F402" s="35" t="s">
        <v>1967</v>
      </c>
      <c r="G402" s="55" t="s">
        <v>2295</v>
      </c>
    </row>
    <row r="403" spans="1:7" ht="12.5" x14ac:dyDescent="0.25">
      <c r="A403" s="54">
        <v>84</v>
      </c>
      <c r="B403" s="35" t="s">
        <v>2292</v>
      </c>
      <c r="C403" s="35" t="s">
        <v>50</v>
      </c>
      <c r="D403" s="35" t="s">
        <v>31</v>
      </c>
      <c r="E403" s="35" t="s">
        <v>281</v>
      </c>
      <c r="F403" s="35" t="s">
        <v>2284</v>
      </c>
      <c r="G403" s="55" t="s">
        <v>2296</v>
      </c>
    </row>
    <row r="404" spans="1:7" ht="12.5" x14ac:dyDescent="0.25">
      <c r="A404" s="54">
        <v>85</v>
      </c>
      <c r="B404" s="35" t="s">
        <v>2294</v>
      </c>
      <c r="C404" s="35" t="s">
        <v>50</v>
      </c>
      <c r="D404" s="35" t="s">
        <v>31</v>
      </c>
      <c r="E404" s="35" t="s">
        <v>580</v>
      </c>
      <c r="F404" s="35" t="s">
        <v>1967</v>
      </c>
      <c r="G404" s="55" t="s">
        <v>2297</v>
      </c>
    </row>
    <row r="405" spans="1:7" ht="12.5" x14ac:dyDescent="0.25">
      <c r="A405" s="54">
        <v>86</v>
      </c>
      <c r="B405" s="35" t="s">
        <v>2298</v>
      </c>
      <c r="C405" s="35" t="s">
        <v>16</v>
      </c>
      <c r="D405" s="35" t="s">
        <v>41</v>
      </c>
      <c r="E405" s="35" t="s">
        <v>581</v>
      </c>
      <c r="F405" s="35" t="s">
        <v>1967</v>
      </c>
      <c r="G405" s="55" t="s">
        <v>2299</v>
      </c>
    </row>
    <row r="406" spans="1:7" ht="12.5" x14ac:dyDescent="0.25">
      <c r="A406" s="54">
        <v>87</v>
      </c>
      <c r="B406" s="35" t="s">
        <v>2300</v>
      </c>
      <c r="C406" s="35" t="s">
        <v>16</v>
      </c>
      <c r="D406" s="35" t="s">
        <v>41</v>
      </c>
      <c r="E406" s="35" t="s">
        <v>235</v>
      </c>
      <c r="F406" s="35" t="s">
        <v>2077</v>
      </c>
      <c r="G406" s="55" t="s">
        <v>2301</v>
      </c>
    </row>
    <row r="407" spans="1:7" ht="12.5" x14ac:dyDescent="0.25">
      <c r="A407" s="54">
        <v>88</v>
      </c>
      <c r="B407" s="35" t="s">
        <v>2300</v>
      </c>
      <c r="C407" s="35" t="s">
        <v>50</v>
      </c>
      <c r="D407" s="35" t="s">
        <v>41</v>
      </c>
      <c r="E407" s="35" t="s">
        <v>586</v>
      </c>
      <c r="F407" s="35" t="s">
        <v>2077</v>
      </c>
      <c r="G407" s="55" t="s">
        <v>2302</v>
      </c>
    </row>
    <row r="408" spans="1:7" ht="12.5" x14ac:dyDescent="0.25">
      <c r="A408" s="54">
        <v>89</v>
      </c>
      <c r="B408" s="35" t="s">
        <v>2303</v>
      </c>
      <c r="C408" s="35" t="s">
        <v>16</v>
      </c>
      <c r="D408" s="35" t="s">
        <v>47</v>
      </c>
      <c r="E408" s="35" t="s">
        <v>14</v>
      </c>
      <c r="F408" s="35" t="s">
        <v>1967</v>
      </c>
      <c r="G408" s="55" t="s">
        <v>2304</v>
      </c>
    </row>
    <row r="409" spans="1:7" ht="12.5" x14ac:dyDescent="0.25">
      <c r="A409" s="54">
        <v>90</v>
      </c>
      <c r="B409" s="35" t="s">
        <v>2303</v>
      </c>
      <c r="C409" s="35" t="s">
        <v>50</v>
      </c>
      <c r="D409" s="35" t="s">
        <v>47</v>
      </c>
      <c r="E409" s="35" t="s">
        <v>281</v>
      </c>
      <c r="F409" s="35" t="s">
        <v>1983</v>
      </c>
      <c r="G409" s="55" t="s">
        <v>2305</v>
      </c>
    </row>
    <row r="410" spans="1:7" ht="12.5" x14ac:dyDescent="0.25">
      <c r="A410" s="54">
        <v>91</v>
      </c>
      <c r="B410" s="35" t="s">
        <v>2306</v>
      </c>
      <c r="C410" s="35" t="s">
        <v>16</v>
      </c>
      <c r="D410" s="35" t="s">
        <v>47</v>
      </c>
      <c r="E410" s="35" t="s">
        <v>64</v>
      </c>
      <c r="F410" s="35" t="s">
        <v>1983</v>
      </c>
      <c r="G410" s="55" t="s">
        <v>2307</v>
      </c>
    </row>
    <row r="411" spans="1:7" ht="12.5" x14ac:dyDescent="0.25">
      <c r="A411" s="54">
        <v>92</v>
      </c>
      <c r="B411" s="35" t="s">
        <v>2306</v>
      </c>
      <c r="C411" s="35" t="s">
        <v>50</v>
      </c>
      <c r="D411" s="35" t="s">
        <v>47</v>
      </c>
      <c r="E411" s="35" t="s">
        <v>560</v>
      </c>
      <c r="F411" s="35" t="s">
        <v>1983</v>
      </c>
      <c r="G411" s="55" t="s">
        <v>2308</v>
      </c>
    </row>
    <row r="412" spans="1:7" ht="12.5" x14ac:dyDescent="0.25">
      <c r="A412" s="54">
        <v>93</v>
      </c>
      <c r="B412" s="35" t="s">
        <v>2309</v>
      </c>
      <c r="C412" s="35" t="s">
        <v>16</v>
      </c>
      <c r="D412" s="35" t="s">
        <v>52</v>
      </c>
      <c r="E412" s="35" t="s">
        <v>14</v>
      </c>
      <c r="F412" s="35" t="s">
        <v>2169</v>
      </c>
      <c r="G412" s="55" t="s">
        <v>2310</v>
      </c>
    </row>
    <row r="413" spans="1:7" ht="12.5" x14ac:dyDescent="0.25">
      <c r="A413" s="54">
        <v>94</v>
      </c>
      <c r="B413" s="35" t="s">
        <v>2309</v>
      </c>
      <c r="C413" s="35" t="s">
        <v>50</v>
      </c>
      <c r="D413" s="35" t="s">
        <v>52</v>
      </c>
      <c r="E413" s="35" t="s">
        <v>281</v>
      </c>
      <c r="F413" s="35" t="s">
        <v>2169</v>
      </c>
      <c r="G413" s="55" t="s">
        <v>2311</v>
      </c>
    </row>
    <row r="414" spans="1:7" ht="12.5" x14ac:dyDescent="0.25">
      <c r="A414" s="54">
        <v>95</v>
      </c>
      <c r="B414" s="35" t="s">
        <v>2312</v>
      </c>
      <c r="C414" s="35" t="s">
        <v>16</v>
      </c>
      <c r="D414" s="35" t="s">
        <v>31</v>
      </c>
      <c r="E414" s="35" t="s">
        <v>14</v>
      </c>
      <c r="F414" s="35" t="s">
        <v>2313</v>
      </c>
      <c r="G414" s="55" t="s">
        <v>2314</v>
      </c>
    </row>
    <row r="415" spans="1:7" ht="12.5" x14ac:dyDescent="0.25">
      <c r="A415" s="54">
        <v>96</v>
      </c>
      <c r="B415" s="35" t="s">
        <v>2315</v>
      </c>
      <c r="C415" s="35" t="s">
        <v>16</v>
      </c>
      <c r="D415" s="35" t="s">
        <v>31</v>
      </c>
      <c r="E415" s="35" t="s">
        <v>14</v>
      </c>
      <c r="F415" s="35" t="s">
        <v>2316</v>
      </c>
      <c r="G415" s="55" t="s">
        <v>2317</v>
      </c>
    </row>
    <row r="416" spans="1:7" ht="12.5" x14ac:dyDescent="0.25">
      <c r="A416" s="54">
        <v>97</v>
      </c>
      <c r="B416" s="35" t="s">
        <v>2318</v>
      </c>
      <c r="C416" s="35" t="s">
        <v>16</v>
      </c>
      <c r="D416" s="35" t="s">
        <v>31</v>
      </c>
      <c r="E416" s="35" t="s">
        <v>14</v>
      </c>
      <c r="F416" s="35" t="s">
        <v>2319</v>
      </c>
      <c r="G416" s="55" t="s">
        <v>2320</v>
      </c>
    </row>
    <row r="417" spans="1:7" ht="12.5" x14ac:dyDescent="0.25">
      <c r="A417" s="54">
        <v>98</v>
      </c>
      <c r="B417" s="35" t="s">
        <v>2321</v>
      </c>
      <c r="C417" s="35" t="s">
        <v>16</v>
      </c>
      <c r="D417" s="35" t="s">
        <v>31</v>
      </c>
      <c r="E417" s="35" t="s">
        <v>14</v>
      </c>
      <c r="F417" s="35" t="s">
        <v>2322</v>
      </c>
      <c r="G417" s="55" t="s">
        <v>2323</v>
      </c>
    </row>
    <row r="418" spans="1:7" ht="12.5" x14ac:dyDescent="0.25">
      <c r="A418" s="54">
        <v>99</v>
      </c>
      <c r="B418" s="35" t="s">
        <v>2324</v>
      </c>
      <c r="C418" s="35" t="s">
        <v>16</v>
      </c>
      <c r="D418" s="35" t="s">
        <v>31</v>
      </c>
      <c r="E418" s="35" t="s">
        <v>14</v>
      </c>
      <c r="F418" s="35" t="s">
        <v>2325</v>
      </c>
      <c r="G418" s="55" t="s">
        <v>2326</v>
      </c>
    </row>
    <row r="419" spans="1:7" ht="12.5" x14ac:dyDescent="0.25">
      <c r="A419" s="54">
        <v>100</v>
      </c>
      <c r="B419" s="35" t="s">
        <v>2327</v>
      </c>
      <c r="C419" s="35" t="s">
        <v>16</v>
      </c>
      <c r="D419" s="35" t="s">
        <v>31</v>
      </c>
      <c r="E419" s="35" t="s">
        <v>14</v>
      </c>
      <c r="F419" s="35" t="s">
        <v>2328</v>
      </c>
      <c r="G419" s="55" t="s">
        <v>2329</v>
      </c>
    </row>
    <row r="420" spans="1:7" ht="12.5" x14ac:dyDescent="0.25">
      <c r="A420" s="54">
        <v>101</v>
      </c>
      <c r="B420" s="35" t="s">
        <v>2330</v>
      </c>
      <c r="C420" s="35" t="s">
        <v>16</v>
      </c>
      <c r="D420" s="35" t="s">
        <v>31</v>
      </c>
      <c r="E420" s="35" t="s">
        <v>25</v>
      </c>
      <c r="F420" s="35" t="s">
        <v>2331</v>
      </c>
      <c r="G420" s="55" t="s">
        <v>2332</v>
      </c>
    </row>
    <row r="421" spans="1:7" ht="12.5" x14ac:dyDescent="0.25">
      <c r="A421" s="54">
        <v>102</v>
      </c>
      <c r="B421" s="35" t="s">
        <v>2312</v>
      </c>
      <c r="C421" s="35" t="s">
        <v>50</v>
      </c>
      <c r="D421" s="35" t="s">
        <v>31</v>
      </c>
      <c r="E421" s="35" t="s">
        <v>283</v>
      </c>
      <c r="F421" s="35" t="s">
        <v>2333</v>
      </c>
      <c r="G421" s="55" t="s">
        <v>2334</v>
      </c>
    </row>
    <row r="422" spans="1:7" ht="12.5" x14ac:dyDescent="0.25">
      <c r="A422" s="54">
        <v>103</v>
      </c>
      <c r="B422" s="35" t="s">
        <v>2335</v>
      </c>
      <c r="C422" s="35" t="s">
        <v>50</v>
      </c>
      <c r="D422" s="35" t="s">
        <v>31</v>
      </c>
      <c r="E422" s="35" t="s">
        <v>283</v>
      </c>
      <c r="F422" s="35" t="s">
        <v>2333</v>
      </c>
      <c r="G422" s="55" t="s">
        <v>2336</v>
      </c>
    </row>
    <row r="423" spans="1:7" ht="12.5" x14ac:dyDescent="0.25">
      <c r="A423" s="54">
        <v>104</v>
      </c>
      <c r="B423" s="35" t="s">
        <v>2327</v>
      </c>
      <c r="C423" s="35" t="s">
        <v>50</v>
      </c>
      <c r="D423" s="35" t="s">
        <v>31</v>
      </c>
      <c r="E423" s="35" t="s">
        <v>283</v>
      </c>
      <c r="F423" s="35" t="s">
        <v>2337</v>
      </c>
      <c r="G423" s="55" t="s">
        <v>2338</v>
      </c>
    </row>
    <row r="424" spans="1:7" ht="12.5" x14ac:dyDescent="0.25">
      <c r="A424" s="54">
        <v>105</v>
      </c>
      <c r="B424" s="35" t="s">
        <v>2321</v>
      </c>
      <c r="C424" s="35" t="s">
        <v>50</v>
      </c>
      <c r="D424" s="35" t="s">
        <v>31</v>
      </c>
      <c r="E424" s="35" t="s">
        <v>49</v>
      </c>
      <c r="F424" s="35" t="s">
        <v>2339</v>
      </c>
      <c r="G424" s="55" t="s">
        <v>2340</v>
      </c>
    </row>
    <row r="425" spans="1:7" ht="12.5" x14ac:dyDescent="0.25">
      <c r="A425" s="54">
        <v>106</v>
      </c>
      <c r="B425" s="35" t="s">
        <v>2330</v>
      </c>
      <c r="C425" s="35" t="s">
        <v>50</v>
      </c>
      <c r="D425" s="35" t="s">
        <v>31</v>
      </c>
      <c r="E425" s="35" t="s">
        <v>260</v>
      </c>
      <c r="F425" s="35" t="s">
        <v>2341</v>
      </c>
      <c r="G425" s="55" t="s">
        <v>2342</v>
      </c>
    </row>
    <row r="426" spans="1:7" ht="12.5" x14ac:dyDescent="0.25">
      <c r="A426" s="54">
        <v>107</v>
      </c>
      <c r="B426" s="35" t="s">
        <v>2343</v>
      </c>
      <c r="C426" s="35" t="s">
        <v>16</v>
      </c>
      <c r="D426" s="35" t="s">
        <v>41</v>
      </c>
      <c r="E426" s="35" t="s">
        <v>14</v>
      </c>
      <c r="F426" s="35" t="s">
        <v>2337</v>
      </c>
      <c r="G426" s="55" t="s">
        <v>2344</v>
      </c>
    </row>
    <row r="427" spans="1:7" ht="12.5" x14ac:dyDescent="0.25">
      <c r="A427" s="54">
        <v>108</v>
      </c>
      <c r="B427" s="35" t="s">
        <v>2335</v>
      </c>
      <c r="C427" s="35" t="s">
        <v>16</v>
      </c>
      <c r="D427" s="35" t="s">
        <v>41</v>
      </c>
      <c r="E427" s="35" t="s">
        <v>14</v>
      </c>
      <c r="F427" s="35" t="s">
        <v>2345</v>
      </c>
      <c r="G427" s="55" t="s">
        <v>2346</v>
      </c>
    </row>
    <row r="428" spans="1:7" ht="12.5" x14ac:dyDescent="0.25">
      <c r="A428" s="54">
        <v>109</v>
      </c>
      <c r="B428" s="35" t="s">
        <v>2347</v>
      </c>
      <c r="C428" s="35" t="s">
        <v>16</v>
      </c>
      <c r="D428" s="35" t="s">
        <v>41</v>
      </c>
      <c r="E428" s="35" t="s">
        <v>14</v>
      </c>
      <c r="F428" s="35" t="s">
        <v>2348</v>
      </c>
      <c r="G428" s="55" t="s">
        <v>2349</v>
      </c>
    </row>
    <row r="429" spans="1:7" ht="12.5" x14ac:dyDescent="0.25">
      <c r="A429" s="54">
        <v>110</v>
      </c>
      <c r="B429" s="35" t="s">
        <v>2350</v>
      </c>
      <c r="C429" s="35" t="s">
        <v>16</v>
      </c>
      <c r="D429" s="35" t="s">
        <v>41</v>
      </c>
      <c r="E429" s="35" t="s">
        <v>14</v>
      </c>
      <c r="F429" s="35" t="s">
        <v>2351</v>
      </c>
      <c r="G429" s="55" t="s">
        <v>2352</v>
      </c>
    </row>
    <row r="430" spans="1:7" ht="12.5" x14ac:dyDescent="0.25">
      <c r="A430" s="54">
        <v>111</v>
      </c>
      <c r="B430" s="35" t="s">
        <v>2353</v>
      </c>
      <c r="C430" s="35" t="s">
        <v>16</v>
      </c>
      <c r="D430" s="35" t="s">
        <v>41</v>
      </c>
      <c r="E430" s="35" t="s">
        <v>14</v>
      </c>
      <c r="F430" s="35" t="s">
        <v>2354</v>
      </c>
      <c r="G430" s="55" t="s">
        <v>2355</v>
      </c>
    </row>
    <row r="431" spans="1:7" ht="12.5" x14ac:dyDescent="0.25">
      <c r="A431" s="54">
        <v>112</v>
      </c>
      <c r="B431" s="35" t="s">
        <v>2343</v>
      </c>
      <c r="C431" s="35" t="s">
        <v>50</v>
      </c>
      <c r="D431" s="35" t="s">
        <v>41</v>
      </c>
      <c r="E431" s="35" t="s">
        <v>36</v>
      </c>
      <c r="F431" s="35" t="s">
        <v>2356</v>
      </c>
      <c r="G431" s="55" t="s">
        <v>2357</v>
      </c>
    </row>
    <row r="432" spans="1:7" ht="12.5" x14ac:dyDescent="0.25">
      <c r="A432" s="54">
        <v>113</v>
      </c>
      <c r="B432" s="35" t="s">
        <v>2324</v>
      </c>
      <c r="C432" s="35" t="s">
        <v>50</v>
      </c>
      <c r="D432" s="35" t="s">
        <v>41</v>
      </c>
      <c r="E432" s="35" t="s">
        <v>36</v>
      </c>
      <c r="F432" s="35" t="s">
        <v>2358</v>
      </c>
      <c r="G432" s="55" t="s">
        <v>2359</v>
      </c>
    </row>
    <row r="433" spans="1:7" ht="12.5" x14ac:dyDescent="0.25">
      <c r="A433" s="54">
        <v>114</v>
      </c>
      <c r="B433" s="35" t="s">
        <v>2347</v>
      </c>
      <c r="C433" s="35" t="s">
        <v>50</v>
      </c>
      <c r="D433" s="35" t="s">
        <v>41</v>
      </c>
      <c r="E433" s="35" t="s">
        <v>36</v>
      </c>
      <c r="F433" s="35" t="s">
        <v>2354</v>
      </c>
      <c r="G433" s="55" t="s">
        <v>2360</v>
      </c>
    </row>
    <row r="434" spans="1:7" ht="12.5" x14ac:dyDescent="0.25">
      <c r="A434" s="54">
        <v>115</v>
      </c>
      <c r="B434" s="35" t="s">
        <v>2350</v>
      </c>
      <c r="C434" s="35" t="s">
        <v>50</v>
      </c>
      <c r="D434" s="35" t="s">
        <v>41</v>
      </c>
      <c r="E434" s="35" t="s">
        <v>49</v>
      </c>
      <c r="F434" s="35" t="s">
        <v>2361</v>
      </c>
      <c r="G434" s="55" t="s">
        <v>2362</v>
      </c>
    </row>
    <row r="435" spans="1:7" ht="12.5" x14ac:dyDescent="0.25">
      <c r="A435" s="54">
        <v>116</v>
      </c>
      <c r="B435" s="35" t="s">
        <v>2363</v>
      </c>
      <c r="C435" s="35" t="s">
        <v>16</v>
      </c>
      <c r="D435" s="35" t="s">
        <v>47</v>
      </c>
      <c r="E435" s="35" t="s">
        <v>14</v>
      </c>
      <c r="F435" s="35" t="s">
        <v>2356</v>
      </c>
      <c r="G435" s="55" t="s">
        <v>2364</v>
      </c>
    </row>
    <row r="436" spans="1:7" ht="12.5" x14ac:dyDescent="0.25">
      <c r="A436" s="54">
        <v>117</v>
      </c>
      <c r="B436" s="35" t="s">
        <v>2365</v>
      </c>
      <c r="C436" s="35" t="s">
        <v>16</v>
      </c>
      <c r="D436" s="35" t="s">
        <v>47</v>
      </c>
      <c r="E436" s="35" t="s">
        <v>14</v>
      </c>
      <c r="F436" s="35" t="s">
        <v>2325</v>
      </c>
      <c r="G436" s="55" t="s">
        <v>2366</v>
      </c>
    </row>
    <row r="437" spans="1:7" ht="12.5" x14ac:dyDescent="0.25">
      <c r="A437" s="54">
        <v>118</v>
      </c>
      <c r="B437" s="35" t="s">
        <v>2367</v>
      </c>
      <c r="C437" s="35" t="s">
        <v>16</v>
      </c>
      <c r="D437" s="35" t="s">
        <v>47</v>
      </c>
      <c r="E437" s="35" t="s">
        <v>14</v>
      </c>
      <c r="F437" s="35" t="s">
        <v>2368</v>
      </c>
      <c r="G437" s="55" t="s">
        <v>2369</v>
      </c>
    </row>
    <row r="438" spans="1:7" ht="12.5" x14ac:dyDescent="0.25">
      <c r="A438" s="54">
        <v>119</v>
      </c>
      <c r="B438" s="35" t="s">
        <v>2370</v>
      </c>
      <c r="C438" s="35" t="s">
        <v>16</v>
      </c>
      <c r="D438" s="35" t="s">
        <v>47</v>
      </c>
      <c r="E438" s="35" t="s">
        <v>14</v>
      </c>
      <c r="F438" s="35" t="s">
        <v>2371</v>
      </c>
      <c r="G438" s="55" t="s">
        <v>2372</v>
      </c>
    </row>
    <row r="439" spans="1:7" ht="12.5" x14ac:dyDescent="0.25">
      <c r="A439" s="54">
        <v>120</v>
      </c>
      <c r="B439" s="35" t="s">
        <v>2363</v>
      </c>
      <c r="C439" s="35" t="s">
        <v>50</v>
      </c>
      <c r="D439" s="35" t="s">
        <v>47</v>
      </c>
      <c r="E439" s="35" t="s">
        <v>283</v>
      </c>
      <c r="F439" s="35" t="s">
        <v>2361</v>
      </c>
      <c r="G439" s="55" t="s">
        <v>2373</v>
      </c>
    </row>
    <row r="440" spans="1:7" ht="12.5" x14ac:dyDescent="0.25">
      <c r="A440" s="54">
        <v>121</v>
      </c>
      <c r="B440" s="35" t="s">
        <v>2365</v>
      </c>
      <c r="C440" s="35" t="s">
        <v>50</v>
      </c>
      <c r="D440" s="35" t="s">
        <v>47</v>
      </c>
      <c r="E440" s="35" t="s">
        <v>283</v>
      </c>
      <c r="F440" s="35" t="s">
        <v>2322</v>
      </c>
      <c r="G440" s="55" t="s">
        <v>2374</v>
      </c>
    </row>
    <row r="441" spans="1:7" ht="12.5" x14ac:dyDescent="0.25">
      <c r="A441" s="54">
        <v>122</v>
      </c>
      <c r="B441" s="35" t="s">
        <v>2367</v>
      </c>
      <c r="C441" s="35" t="s">
        <v>50</v>
      </c>
      <c r="D441" s="35" t="s">
        <v>47</v>
      </c>
      <c r="E441" s="35" t="s">
        <v>283</v>
      </c>
      <c r="F441" s="35" t="s">
        <v>2375</v>
      </c>
      <c r="G441" s="55" t="s">
        <v>2376</v>
      </c>
    </row>
    <row r="442" spans="1:7" ht="12.5" x14ac:dyDescent="0.25">
      <c r="A442" s="54">
        <v>123</v>
      </c>
      <c r="B442" s="35" t="s">
        <v>2370</v>
      </c>
      <c r="C442" s="35" t="s">
        <v>50</v>
      </c>
      <c r="D442" s="35" t="s">
        <v>47</v>
      </c>
      <c r="E442" s="35" t="s">
        <v>28</v>
      </c>
      <c r="F442" s="35" t="s">
        <v>2377</v>
      </c>
      <c r="G442" s="55" t="s">
        <v>2378</v>
      </c>
    </row>
    <row r="443" spans="1:7" ht="12.5" x14ac:dyDescent="0.25">
      <c r="A443" s="54">
        <v>124</v>
      </c>
      <c r="B443" s="35" t="s">
        <v>2379</v>
      </c>
      <c r="C443" s="35" t="s">
        <v>16</v>
      </c>
      <c r="D443" s="35" t="s">
        <v>52</v>
      </c>
      <c r="E443" s="35" t="s">
        <v>14</v>
      </c>
      <c r="F443" s="35" t="s">
        <v>2380</v>
      </c>
      <c r="G443" s="55" t="s">
        <v>2381</v>
      </c>
    </row>
    <row r="444" spans="1:7" ht="12.5" x14ac:dyDescent="0.25">
      <c r="A444" s="54">
        <v>125</v>
      </c>
      <c r="B444" s="35" t="s">
        <v>2382</v>
      </c>
      <c r="C444" s="35" t="s">
        <v>16</v>
      </c>
      <c r="D444" s="35" t="s">
        <v>52</v>
      </c>
      <c r="E444" s="35" t="s">
        <v>14</v>
      </c>
      <c r="F444" s="35" t="s">
        <v>2333</v>
      </c>
      <c r="G444" s="55" t="s">
        <v>2383</v>
      </c>
    </row>
    <row r="445" spans="1:7" ht="12.5" x14ac:dyDescent="0.25">
      <c r="A445" s="54">
        <v>126</v>
      </c>
      <c r="B445" s="35" t="s">
        <v>2384</v>
      </c>
      <c r="C445" s="35" t="s">
        <v>16</v>
      </c>
      <c r="D445" s="35" t="s">
        <v>52</v>
      </c>
      <c r="E445" s="35" t="s">
        <v>14</v>
      </c>
      <c r="F445" s="35" t="s">
        <v>2319</v>
      </c>
      <c r="G445" s="55" t="s">
        <v>2385</v>
      </c>
    </row>
    <row r="446" spans="1:7" ht="12.5" x14ac:dyDescent="0.25">
      <c r="A446" s="54">
        <v>127</v>
      </c>
      <c r="B446" s="35" t="s">
        <v>2386</v>
      </c>
      <c r="C446" s="35" t="s">
        <v>16</v>
      </c>
      <c r="D446" s="35" t="s">
        <v>52</v>
      </c>
      <c r="E446" s="35" t="s">
        <v>14</v>
      </c>
      <c r="F446" s="35" t="s">
        <v>2319</v>
      </c>
      <c r="G446" s="55" t="s">
        <v>2387</v>
      </c>
    </row>
    <row r="447" spans="1:7" ht="12.5" x14ac:dyDescent="0.25">
      <c r="A447" s="54">
        <v>128</v>
      </c>
      <c r="B447" s="35" t="s">
        <v>2379</v>
      </c>
      <c r="C447" s="35" t="s">
        <v>50</v>
      </c>
      <c r="D447" s="35" t="s">
        <v>52</v>
      </c>
      <c r="E447" s="35" t="s">
        <v>28</v>
      </c>
      <c r="F447" s="35" t="s">
        <v>2368</v>
      </c>
      <c r="G447" s="55" t="s">
        <v>2388</v>
      </c>
    </row>
    <row r="448" spans="1:7" ht="12.5" x14ac:dyDescent="0.25">
      <c r="A448" s="54">
        <v>129</v>
      </c>
      <c r="B448" s="35" t="s">
        <v>2382</v>
      </c>
      <c r="C448" s="35" t="s">
        <v>50</v>
      </c>
      <c r="D448" s="35" t="s">
        <v>52</v>
      </c>
      <c r="E448" s="35" t="s">
        <v>28</v>
      </c>
      <c r="F448" s="35" t="s">
        <v>2313</v>
      </c>
      <c r="G448" s="55" t="s">
        <v>2389</v>
      </c>
    </row>
    <row r="449" spans="1:7" ht="12.5" x14ac:dyDescent="0.25">
      <c r="A449" s="54">
        <v>130</v>
      </c>
      <c r="B449" s="35" t="s">
        <v>2384</v>
      </c>
      <c r="C449" s="35" t="s">
        <v>50</v>
      </c>
      <c r="D449" s="35" t="s">
        <v>52</v>
      </c>
      <c r="E449" s="35" t="s">
        <v>28</v>
      </c>
      <c r="F449" s="35" t="s">
        <v>2333</v>
      </c>
      <c r="G449" s="55" t="s">
        <v>2390</v>
      </c>
    </row>
    <row r="450" spans="1:7" ht="12.5" x14ac:dyDescent="0.25">
      <c r="A450" s="54">
        <v>131</v>
      </c>
      <c r="B450" s="35" t="s">
        <v>2386</v>
      </c>
      <c r="C450" s="35" t="s">
        <v>50</v>
      </c>
      <c r="D450" s="35" t="s">
        <v>52</v>
      </c>
      <c r="E450" s="35" t="s">
        <v>28</v>
      </c>
      <c r="F450" s="35" t="s">
        <v>2391</v>
      </c>
      <c r="G450" s="55" t="s">
        <v>2392</v>
      </c>
    </row>
    <row r="451" spans="1:7" ht="12.5" x14ac:dyDescent="0.25">
      <c r="A451" s="54">
        <v>132</v>
      </c>
      <c r="B451" s="35" t="s">
        <v>2393</v>
      </c>
      <c r="C451" s="35" t="s">
        <v>16</v>
      </c>
      <c r="D451" s="35" t="s">
        <v>195</v>
      </c>
      <c r="E451" s="35" t="s">
        <v>14</v>
      </c>
      <c r="F451" s="35" t="s">
        <v>2333</v>
      </c>
      <c r="G451" s="55" t="s">
        <v>2394</v>
      </c>
    </row>
    <row r="452" spans="1:7" ht="12.5" x14ac:dyDescent="0.25">
      <c r="A452" s="54">
        <v>133</v>
      </c>
      <c r="B452" s="35" t="s">
        <v>2393</v>
      </c>
      <c r="C452" s="35" t="s">
        <v>50</v>
      </c>
      <c r="D452" s="35" t="s">
        <v>195</v>
      </c>
      <c r="E452" s="35" t="s">
        <v>283</v>
      </c>
      <c r="F452" s="35" t="s">
        <v>2322</v>
      </c>
      <c r="G452" s="55" t="s">
        <v>2395</v>
      </c>
    </row>
    <row r="453" spans="1:7" ht="12.5" x14ac:dyDescent="0.25">
      <c r="A453" s="54">
        <v>134</v>
      </c>
      <c r="B453" s="35" t="s">
        <v>2396</v>
      </c>
      <c r="C453" s="35" t="s">
        <v>16</v>
      </c>
      <c r="D453" s="35" t="s">
        <v>13</v>
      </c>
      <c r="E453" s="35" t="s">
        <v>14</v>
      </c>
      <c r="F453" s="35" t="s">
        <v>2375</v>
      </c>
      <c r="G453" s="55" t="s">
        <v>2397</v>
      </c>
    </row>
    <row r="454" spans="1:7" ht="12.5" x14ac:dyDescent="0.25">
      <c r="A454" s="54">
        <v>135</v>
      </c>
      <c r="B454" s="35" t="s">
        <v>2398</v>
      </c>
      <c r="C454" s="35" t="s">
        <v>16</v>
      </c>
      <c r="D454" s="35" t="s">
        <v>13</v>
      </c>
      <c r="E454" s="35" t="s">
        <v>14</v>
      </c>
      <c r="F454" s="35" t="s">
        <v>2399</v>
      </c>
      <c r="G454" s="55" t="s">
        <v>2400</v>
      </c>
    </row>
    <row r="455" spans="1:7" ht="12.5" x14ac:dyDescent="0.25">
      <c r="A455" s="54">
        <v>136</v>
      </c>
      <c r="B455" s="35" t="s">
        <v>2401</v>
      </c>
      <c r="C455" s="35" t="s">
        <v>16</v>
      </c>
      <c r="D455" s="35" t="s">
        <v>13</v>
      </c>
      <c r="E455" s="35" t="s">
        <v>639</v>
      </c>
      <c r="F455" s="35" t="s">
        <v>2368</v>
      </c>
      <c r="G455" s="55" t="s">
        <v>2402</v>
      </c>
    </row>
    <row r="456" spans="1:7" ht="12.5" x14ac:dyDescent="0.25">
      <c r="A456" s="54">
        <v>137</v>
      </c>
      <c r="B456" s="35" t="s">
        <v>2396</v>
      </c>
      <c r="C456" s="35" t="s">
        <v>50</v>
      </c>
      <c r="D456" s="35" t="s">
        <v>13</v>
      </c>
      <c r="E456" s="35" t="s">
        <v>49</v>
      </c>
      <c r="F456" s="35" t="s">
        <v>2399</v>
      </c>
      <c r="G456" s="55" t="s">
        <v>2403</v>
      </c>
    </row>
    <row r="457" spans="1:7" ht="12.5" x14ac:dyDescent="0.25">
      <c r="A457" s="54">
        <v>138</v>
      </c>
      <c r="B457" s="35" t="s">
        <v>2398</v>
      </c>
      <c r="C457" s="35" t="s">
        <v>50</v>
      </c>
      <c r="D457" s="35" t="s">
        <v>13</v>
      </c>
      <c r="E457" s="35" t="s">
        <v>49</v>
      </c>
      <c r="F457" s="35" t="s">
        <v>2351</v>
      </c>
      <c r="G457" s="55" t="s">
        <v>2404</v>
      </c>
    </row>
    <row r="458" spans="1:7" ht="12.5" x14ac:dyDescent="0.25">
      <c r="A458" s="54">
        <v>139</v>
      </c>
      <c r="B458" s="35" t="s">
        <v>2401</v>
      </c>
      <c r="C458" s="35" t="s">
        <v>50</v>
      </c>
      <c r="D458" s="35" t="s">
        <v>13</v>
      </c>
      <c r="E458" s="35" t="s">
        <v>49</v>
      </c>
      <c r="F458" s="35" t="s">
        <v>2356</v>
      </c>
      <c r="G458" s="55" t="s">
        <v>2405</v>
      </c>
    </row>
    <row r="459" spans="1:7" ht="12.5" x14ac:dyDescent="0.25">
      <c r="A459" s="54">
        <v>140</v>
      </c>
      <c r="B459" s="35" t="s">
        <v>2406</v>
      </c>
      <c r="C459" s="35" t="s">
        <v>16</v>
      </c>
      <c r="D459" s="35" t="s">
        <v>31</v>
      </c>
      <c r="E459" s="35" t="s">
        <v>642</v>
      </c>
      <c r="F459" s="35" t="s">
        <v>2313</v>
      </c>
      <c r="G459" s="55" t="s">
        <v>2407</v>
      </c>
    </row>
    <row r="460" spans="1:7" ht="12.5" x14ac:dyDescent="0.25">
      <c r="A460" s="54">
        <v>141</v>
      </c>
      <c r="B460" s="35" t="s">
        <v>2406</v>
      </c>
      <c r="C460" s="35" t="s">
        <v>50</v>
      </c>
      <c r="D460" s="35" t="s">
        <v>31</v>
      </c>
      <c r="E460" s="35" t="s">
        <v>49</v>
      </c>
      <c r="F460" s="35" t="s">
        <v>2408</v>
      </c>
      <c r="G460" s="55" t="s">
        <v>2409</v>
      </c>
    </row>
    <row r="461" spans="1:7" ht="12.5" x14ac:dyDescent="0.25">
      <c r="A461" s="54">
        <v>142</v>
      </c>
      <c r="B461" s="35" t="s">
        <v>2410</v>
      </c>
      <c r="C461" s="35" t="s">
        <v>16</v>
      </c>
      <c r="D461" s="35" t="s">
        <v>41</v>
      </c>
      <c r="E461" s="35" t="s">
        <v>14</v>
      </c>
      <c r="F461" s="35" t="s">
        <v>2341</v>
      </c>
      <c r="G461" s="55" t="s">
        <v>2411</v>
      </c>
    </row>
    <row r="462" spans="1:7" ht="12.5" x14ac:dyDescent="0.25">
      <c r="A462" s="54">
        <v>143</v>
      </c>
      <c r="B462" s="35" t="s">
        <v>2412</v>
      </c>
      <c r="C462" s="35" t="s">
        <v>16</v>
      </c>
      <c r="D462" s="35" t="s">
        <v>41</v>
      </c>
      <c r="E462" s="35" t="s">
        <v>14</v>
      </c>
      <c r="F462" s="35" t="s">
        <v>2325</v>
      </c>
      <c r="G462" s="55" t="s">
        <v>2413</v>
      </c>
    </row>
    <row r="463" spans="1:7" ht="12.5" x14ac:dyDescent="0.25">
      <c r="A463" s="54">
        <v>144</v>
      </c>
      <c r="B463" s="35" t="s">
        <v>2414</v>
      </c>
      <c r="C463" s="35" t="s">
        <v>16</v>
      </c>
      <c r="D463" s="35" t="s">
        <v>41</v>
      </c>
      <c r="E463" s="35" t="s">
        <v>14</v>
      </c>
      <c r="F463" s="35" t="s">
        <v>2391</v>
      </c>
      <c r="G463" s="55" t="s">
        <v>2415</v>
      </c>
    </row>
    <row r="464" spans="1:7" ht="12.5" x14ac:dyDescent="0.25">
      <c r="A464" s="54">
        <v>145</v>
      </c>
      <c r="B464" s="35" t="s">
        <v>2416</v>
      </c>
      <c r="C464" s="35" t="s">
        <v>16</v>
      </c>
      <c r="D464" s="35" t="s">
        <v>41</v>
      </c>
      <c r="E464" s="35" t="s">
        <v>14</v>
      </c>
      <c r="F464" s="35" t="s">
        <v>2399</v>
      </c>
      <c r="G464" s="55" t="s">
        <v>2417</v>
      </c>
    </row>
    <row r="465" spans="1:7" ht="12.5" x14ac:dyDescent="0.25">
      <c r="A465" s="54">
        <v>146</v>
      </c>
      <c r="B465" s="35" t="s">
        <v>2410</v>
      </c>
      <c r="C465" s="35" t="s">
        <v>50</v>
      </c>
      <c r="D465" s="35" t="s">
        <v>41</v>
      </c>
      <c r="E465" s="35" t="s">
        <v>49</v>
      </c>
      <c r="F465" s="35" t="s">
        <v>2319</v>
      </c>
      <c r="G465" s="55" t="s">
        <v>2418</v>
      </c>
    </row>
    <row r="466" spans="1:7" ht="12.5" x14ac:dyDescent="0.25">
      <c r="A466" s="54">
        <v>147</v>
      </c>
      <c r="B466" s="35" t="s">
        <v>2412</v>
      </c>
      <c r="C466" s="35" t="s">
        <v>50</v>
      </c>
      <c r="D466" s="35" t="s">
        <v>41</v>
      </c>
      <c r="E466" s="35" t="s">
        <v>49</v>
      </c>
      <c r="F466" s="35" t="s">
        <v>2419</v>
      </c>
      <c r="G466" s="55" t="s">
        <v>2420</v>
      </c>
    </row>
    <row r="467" spans="1:7" ht="12.5" x14ac:dyDescent="0.25">
      <c r="A467" s="54">
        <v>148</v>
      </c>
      <c r="B467" s="35" t="s">
        <v>2414</v>
      </c>
      <c r="C467" s="35" t="s">
        <v>50</v>
      </c>
      <c r="D467" s="35" t="s">
        <v>41</v>
      </c>
      <c r="E467" s="35" t="s">
        <v>49</v>
      </c>
      <c r="F467" s="35" t="s">
        <v>2377</v>
      </c>
      <c r="G467" s="55" t="s">
        <v>2421</v>
      </c>
    </row>
    <row r="468" spans="1:7" ht="12.5" x14ac:dyDescent="0.25">
      <c r="A468" s="54">
        <v>149</v>
      </c>
      <c r="B468" s="35" t="s">
        <v>2422</v>
      </c>
      <c r="C468" s="35" t="s">
        <v>16</v>
      </c>
      <c r="D468" s="35" t="s">
        <v>47</v>
      </c>
      <c r="E468" s="35" t="s">
        <v>653</v>
      </c>
      <c r="F468" s="35" t="s">
        <v>2380</v>
      </c>
      <c r="G468" s="55" t="s">
        <v>2423</v>
      </c>
    </row>
    <row r="469" spans="1:7" ht="12.5" x14ac:dyDescent="0.25">
      <c r="A469" s="54">
        <v>150</v>
      </c>
      <c r="B469" s="35" t="s">
        <v>2424</v>
      </c>
      <c r="C469" s="35" t="s">
        <v>16</v>
      </c>
      <c r="D469" s="35" t="s">
        <v>47</v>
      </c>
      <c r="E469" s="35" t="s">
        <v>14</v>
      </c>
      <c r="F469" s="35" t="s">
        <v>2325</v>
      </c>
      <c r="G469" s="55" t="s">
        <v>2425</v>
      </c>
    </row>
    <row r="470" spans="1:7" ht="12.5" x14ac:dyDescent="0.25">
      <c r="A470" s="54">
        <v>151</v>
      </c>
      <c r="B470" s="35" t="s">
        <v>2426</v>
      </c>
      <c r="C470" s="35" t="s">
        <v>16</v>
      </c>
      <c r="D470" s="35" t="s">
        <v>47</v>
      </c>
      <c r="E470" s="35" t="s">
        <v>14</v>
      </c>
      <c r="F470" s="35" t="s">
        <v>2351</v>
      </c>
      <c r="G470" s="55" t="s">
        <v>2427</v>
      </c>
    </row>
    <row r="471" spans="1:7" ht="12.5" x14ac:dyDescent="0.25">
      <c r="A471" s="54">
        <v>152</v>
      </c>
      <c r="B471" s="35" t="s">
        <v>2428</v>
      </c>
      <c r="C471" s="35" t="s">
        <v>16</v>
      </c>
      <c r="D471" s="35" t="s">
        <v>47</v>
      </c>
      <c r="E471" s="35" t="s">
        <v>14</v>
      </c>
      <c r="F471" s="35" t="s">
        <v>2408</v>
      </c>
      <c r="G471" s="55" t="s">
        <v>2429</v>
      </c>
    </row>
    <row r="472" spans="1:7" ht="12.5" x14ac:dyDescent="0.25">
      <c r="A472" s="54">
        <v>153</v>
      </c>
      <c r="B472" s="35" t="s">
        <v>2424</v>
      </c>
      <c r="C472" s="35" t="s">
        <v>50</v>
      </c>
      <c r="D472" s="35" t="s">
        <v>47</v>
      </c>
      <c r="E472" s="35" t="s">
        <v>49</v>
      </c>
      <c r="F472" s="35" t="s">
        <v>2399</v>
      </c>
      <c r="G472" s="55" t="s">
        <v>2430</v>
      </c>
    </row>
    <row r="473" spans="1:7" ht="12.5" x14ac:dyDescent="0.25">
      <c r="A473" s="54">
        <v>154</v>
      </c>
      <c r="B473" s="35" t="s">
        <v>2426</v>
      </c>
      <c r="C473" s="35" t="s">
        <v>50</v>
      </c>
      <c r="D473" s="35" t="s">
        <v>47</v>
      </c>
      <c r="E473" s="35" t="s">
        <v>49</v>
      </c>
      <c r="F473" s="35" t="s">
        <v>2377</v>
      </c>
      <c r="G473" s="55" t="s">
        <v>2431</v>
      </c>
    </row>
    <row r="474" spans="1:7" ht="12.5" x14ac:dyDescent="0.25">
      <c r="A474" s="54">
        <v>155</v>
      </c>
      <c r="B474" s="35" t="s">
        <v>2428</v>
      </c>
      <c r="C474" s="35" t="s">
        <v>50</v>
      </c>
      <c r="D474" s="35" t="s">
        <v>47</v>
      </c>
      <c r="E474" s="35" t="s">
        <v>49</v>
      </c>
      <c r="F474" s="35" t="s">
        <v>2341</v>
      </c>
      <c r="G474" s="55" t="s">
        <v>2432</v>
      </c>
    </row>
    <row r="475" spans="1:7" ht="12.5" x14ac:dyDescent="0.25">
      <c r="A475" s="54">
        <v>156</v>
      </c>
      <c r="B475" s="35" t="s">
        <v>2433</v>
      </c>
      <c r="C475" s="35" t="s">
        <v>16</v>
      </c>
      <c r="D475" s="35" t="s">
        <v>52</v>
      </c>
      <c r="E475" s="35" t="s">
        <v>14</v>
      </c>
      <c r="F475" s="35" t="s">
        <v>2375</v>
      </c>
      <c r="G475" s="55" t="s">
        <v>2434</v>
      </c>
    </row>
    <row r="476" spans="1:7" ht="12.5" x14ac:dyDescent="0.25">
      <c r="A476" s="54">
        <v>157</v>
      </c>
      <c r="B476" s="35" t="s">
        <v>2433</v>
      </c>
      <c r="C476" s="35" t="s">
        <v>50</v>
      </c>
      <c r="D476" s="35" t="s">
        <v>52</v>
      </c>
      <c r="E476" s="35" t="s">
        <v>49</v>
      </c>
      <c r="F476" s="35" t="s">
        <v>2399</v>
      </c>
      <c r="G476" s="55" t="s">
        <v>2435</v>
      </c>
    </row>
    <row r="477" spans="1:7" ht="12.5" x14ac:dyDescent="0.25">
      <c r="A477" s="54">
        <v>158</v>
      </c>
      <c r="B477" s="35" t="s">
        <v>2416</v>
      </c>
      <c r="C477" s="35" t="s">
        <v>50</v>
      </c>
      <c r="D477" s="35" t="s">
        <v>52</v>
      </c>
      <c r="E477" s="35" t="s">
        <v>90</v>
      </c>
      <c r="F477" s="35" t="s">
        <v>2368</v>
      </c>
      <c r="G477" s="55" t="s">
        <v>2436</v>
      </c>
    </row>
    <row r="478" spans="1:7" ht="12.5" x14ac:dyDescent="0.25">
      <c r="A478" s="54">
        <v>159</v>
      </c>
      <c r="B478" s="35" t="s">
        <v>2437</v>
      </c>
      <c r="C478" s="35" t="s">
        <v>16</v>
      </c>
      <c r="D478" s="35" t="s">
        <v>13</v>
      </c>
      <c r="E478" s="35" t="s">
        <v>14</v>
      </c>
      <c r="F478" s="35" t="s">
        <v>2438</v>
      </c>
      <c r="G478" s="55" t="s">
        <v>2439</v>
      </c>
    </row>
    <row r="479" spans="1:7" ht="12.5" x14ac:dyDescent="0.25">
      <c r="A479" s="54">
        <v>160</v>
      </c>
      <c r="B479" s="35" t="s">
        <v>2440</v>
      </c>
      <c r="C479" s="35" t="s">
        <v>16</v>
      </c>
      <c r="D479" s="35" t="s">
        <v>13</v>
      </c>
      <c r="E479" s="35" t="s">
        <v>14</v>
      </c>
      <c r="F479" s="35" t="s">
        <v>2441</v>
      </c>
      <c r="G479" s="55" t="s">
        <v>2442</v>
      </c>
    </row>
    <row r="480" spans="1:7" ht="12.5" x14ac:dyDescent="0.25">
      <c r="A480" s="54">
        <v>161</v>
      </c>
      <c r="B480" s="35" t="s">
        <v>2443</v>
      </c>
      <c r="C480" s="35" t="s">
        <v>16</v>
      </c>
      <c r="D480" s="35" t="s">
        <v>13</v>
      </c>
      <c r="E480" s="35" t="s">
        <v>25</v>
      </c>
      <c r="F480" s="35" t="s">
        <v>2444</v>
      </c>
      <c r="G480" s="55" t="s">
        <v>2445</v>
      </c>
    </row>
    <row r="481" spans="1:7" ht="12.5" x14ac:dyDescent="0.25">
      <c r="A481" s="54">
        <v>162</v>
      </c>
      <c r="B481" s="35" t="s">
        <v>2446</v>
      </c>
      <c r="C481" s="35" t="s">
        <v>16</v>
      </c>
      <c r="D481" s="35" t="s">
        <v>13</v>
      </c>
      <c r="E481" s="35" t="s">
        <v>25</v>
      </c>
      <c r="F481" s="35" t="s">
        <v>2447</v>
      </c>
      <c r="G481" s="55" t="s">
        <v>2448</v>
      </c>
    </row>
    <row r="482" spans="1:7" ht="12.5" x14ac:dyDescent="0.25">
      <c r="A482" s="54">
        <v>163</v>
      </c>
      <c r="B482" s="35" t="s">
        <v>2449</v>
      </c>
      <c r="C482" s="35" t="s">
        <v>16</v>
      </c>
      <c r="D482" s="35" t="s">
        <v>13</v>
      </c>
      <c r="E482" s="35" t="s">
        <v>64</v>
      </c>
      <c r="F482" s="35" t="s">
        <v>2450</v>
      </c>
      <c r="G482" s="55" t="s">
        <v>2451</v>
      </c>
    </row>
    <row r="483" spans="1:7" ht="12.5" x14ac:dyDescent="0.25">
      <c r="A483" s="54">
        <v>164</v>
      </c>
      <c r="B483" s="35" t="s">
        <v>2452</v>
      </c>
      <c r="C483" s="35" t="s">
        <v>16</v>
      </c>
      <c r="D483" s="35" t="s">
        <v>31</v>
      </c>
      <c r="E483" s="35" t="s">
        <v>14</v>
      </c>
      <c r="F483" s="35" t="s">
        <v>2453</v>
      </c>
      <c r="G483" s="55" t="s">
        <v>2454</v>
      </c>
    </row>
    <row r="484" spans="1:7" ht="12.5" x14ac:dyDescent="0.25">
      <c r="A484" s="54">
        <v>165</v>
      </c>
      <c r="B484" s="35" t="s">
        <v>2443</v>
      </c>
      <c r="C484" s="35" t="s">
        <v>50</v>
      </c>
      <c r="D484" s="35" t="s">
        <v>31</v>
      </c>
      <c r="E484" s="35" t="s">
        <v>426</v>
      </c>
      <c r="F484" s="35" t="s">
        <v>2455</v>
      </c>
      <c r="G484" s="55" t="s">
        <v>2456</v>
      </c>
    </row>
    <row r="485" spans="1:7" ht="12.5" x14ac:dyDescent="0.25">
      <c r="A485" s="54">
        <v>166</v>
      </c>
      <c r="B485" s="35" t="s">
        <v>2457</v>
      </c>
      <c r="C485" s="35" t="s">
        <v>16</v>
      </c>
      <c r="D485" s="35" t="s">
        <v>31</v>
      </c>
      <c r="E485" s="35" t="s">
        <v>25</v>
      </c>
      <c r="F485" s="35" t="s">
        <v>2458</v>
      </c>
      <c r="G485" s="55" t="s">
        <v>2459</v>
      </c>
    </row>
    <row r="486" spans="1:7" ht="12.5" x14ac:dyDescent="0.25">
      <c r="A486" s="54">
        <v>167</v>
      </c>
      <c r="B486" s="35" t="s">
        <v>2460</v>
      </c>
      <c r="C486" s="35" t="s">
        <v>16</v>
      </c>
      <c r="D486" s="35" t="s">
        <v>31</v>
      </c>
      <c r="E486" s="35" t="s">
        <v>25</v>
      </c>
      <c r="F486" s="35" t="s">
        <v>2461</v>
      </c>
      <c r="G486" s="55" t="s">
        <v>2462</v>
      </c>
    </row>
    <row r="487" spans="1:7" ht="12.5" x14ac:dyDescent="0.25">
      <c r="A487" s="54">
        <v>168</v>
      </c>
      <c r="B487" s="35" t="s">
        <v>2463</v>
      </c>
      <c r="C487" s="35" t="s">
        <v>16</v>
      </c>
      <c r="D487" s="35" t="s">
        <v>31</v>
      </c>
      <c r="E487" s="35" t="s">
        <v>25</v>
      </c>
      <c r="F487" s="35" t="s">
        <v>2464</v>
      </c>
      <c r="G487" s="55" t="s">
        <v>2465</v>
      </c>
    </row>
    <row r="488" spans="1:7" ht="12.5" x14ac:dyDescent="0.25">
      <c r="A488" s="54">
        <v>169</v>
      </c>
      <c r="B488" s="35" t="s">
        <v>2466</v>
      </c>
      <c r="C488" s="35" t="s">
        <v>16</v>
      </c>
      <c r="D488" s="35" t="s">
        <v>31</v>
      </c>
      <c r="E488" s="35" t="s">
        <v>64</v>
      </c>
      <c r="F488" s="35" t="s">
        <v>2467</v>
      </c>
      <c r="G488" s="55" t="s">
        <v>2468</v>
      </c>
    </row>
    <row r="489" spans="1:7" ht="12.5" x14ac:dyDescent="0.25">
      <c r="A489" s="54">
        <v>170</v>
      </c>
      <c r="B489" s="35" t="s">
        <v>2440</v>
      </c>
      <c r="C489" s="35" t="s">
        <v>50</v>
      </c>
      <c r="D489" s="35" t="s">
        <v>31</v>
      </c>
      <c r="E489" s="35" t="s">
        <v>49</v>
      </c>
      <c r="F489" s="35" t="s">
        <v>2450</v>
      </c>
      <c r="G489" s="55" t="s">
        <v>2469</v>
      </c>
    </row>
    <row r="490" spans="1:7" ht="12.5" x14ac:dyDescent="0.25">
      <c r="A490" s="54">
        <v>171</v>
      </c>
      <c r="B490" s="35" t="s">
        <v>2463</v>
      </c>
      <c r="C490" s="35" t="s">
        <v>50</v>
      </c>
      <c r="D490" s="35" t="s">
        <v>31</v>
      </c>
      <c r="E490" s="35" t="s">
        <v>49</v>
      </c>
      <c r="F490" s="35" t="s">
        <v>2470</v>
      </c>
      <c r="G490" s="55" t="s">
        <v>2471</v>
      </c>
    </row>
    <row r="491" spans="1:7" ht="12.5" x14ac:dyDescent="0.25">
      <c r="A491" s="54">
        <v>172</v>
      </c>
      <c r="B491" s="35" t="s">
        <v>2472</v>
      </c>
      <c r="C491" s="35" t="s">
        <v>16</v>
      </c>
      <c r="D491" s="35" t="s">
        <v>41</v>
      </c>
      <c r="E491" s="35" t="s">
        <v>14</v>
      </c>
      <c r="F491" s="35" t="s">
        <v>2438</v>
      </c>
      <c r="G491" s="55" t="s">
        <v>2473</v>
      </c>
    </row>
    <row r="492" spans="1:7" ht="12.5" x14ac:dyDescent="0.25">
      <c r="A492" s="54">
        <v>173</v>
      </c>
      <c r="B492" s="35" t="s">
        <v>2460</v>
      </c>
      <c r="C492" s="35" t="s">
        <v>50</v>
      </c>
      <c r="D492" s="35" t="s">
        <v>41</v>
      </c>
      <c r="E492" s="35" t="s">
        <v>686</v>
      </c>
      <c r="F492" s="35" t="s">
        <v>2474</v>
      </c>
      <c r="G492" s="55" t="s">
        <v>2475</v>
      </c>
    </row>
    <row r="493" spans="1:7" ht="12.5" x14ac:dyDescent="0.25">
      <c r="A493" s="54">
        <v>174</v>
      </c>
      <c r="B493" s="35" t="s">
        <v>2452</v>
      </c>
      <c r="C493" s="35" t="s">
        <v>50</v>
      </c>
      <c r="D493" s="35" t="s">
        <v>41</v>
      </c>
      <c r="E493" s="35" t="s">
        <v>687</v>
      </c>
      <c r="F493" s="35" t="s">
        <v>2476</v>
      </c>
      <c r="G493" s="55" t="s">
        <v>2477</v>
      </c>
    </row>
    <row r="494" spans="1:7" ht="12.5" x14ac:dyDescent="0.25">
      <c r="A494" s="54">
        <v>175</v>
      </c>
      <c r="B494" s="35" t="s">
        <v>2437</v>
      </c>
      <c r="C494" s="35" t="s">
        <v>50</v>
      </c>
      <c r="D494" s="35" t="s">
        <v>41</v>
      </c>
      <c r="E494" s="35" t="s">
        <v>49</v>
      </c>
      <c r="F494" s="35" t="s">
        <v>2478</v>
      </c>
      <c r="G494" s="55" t="s">
        <v>2479</v>
      </c>
    </row>
    <row r="495" spans="1:7" ht="12.5" x14ac:dyDescent="0.25">
      <c r="A495" s="54">
        <v>176</v>
      </c>
      <c r="B495" s="35" t="s">
        <v>2480</v>
      </c>
      <c r="C495" s="35" t="s">
        <v>16</v>
      </c>
      <c r="D495" s="35" t="s">
        <v>41</v>
      </c>
      <c r="E495" s="35" t="s">
        <v>49</v>
      </c>
      <c r="F495" s="35" t="s">
        <v>2470</v>
      </c>
      <c r="G495" s="55" t="s">
        <v>2481</v>
      </c>
    </row>
    <row r="496" spans="1:7" ht="12.5" x14ac:dyDescent="0.25">
      <c r="A496" s="54">
        <v>177</v>
      </c>
      <c r="B496" s="35" t="s">
        <v>2482</v>
      </c>
      <c r="C496" s="35" t="s">
        <v>16</v>
      </c>
      <c r="D496" s="35" t="s">
        <v>47</v>
      </c>
      <c r="E496" s="35" t="s">
        <v>14</v>
      </c>
      <c r="F496" s="35" t="s">
        <v>2483</v>
      </c>
      <c r="G496" s="55" t="s">
        <v>2484</v>
      </c>
    </row>
    <row r="497" spans="1:7" ht="12.5" x14ac:dyDescent="0.25">
      <c r="A497" s="54">
        <v>178</v>
      </c>
      <c r="B497" s="35" t="s">
        <v>2485</v>
      </c>
      <c r="C497" s="35" t="s">
        <v>16</v>
      </c>
      <c r="D497" s="35" t="s">
        <v>47</v>
      </c>
      <c r="E497" s="35" t="s">
        <v>25</v>
      </c>
      <c r="F497" s="35" t="s">
        <v>2486</v>
      </c>
      <c r="G497" s="55" t="s">
        <v>2487</v>
      </c>
    </row>
    <row r="498" spans="1:7" ht="12.5" x14ac:dyDescent="0.25">
      <c r="A498" s="54">
        <v>179</v>
      </c>
      <c r="B498" s="35" t="s">
        <v>2488</v>
      </c>
      <c r="C498" s="35" t="s">
        <v>16</v>
      </c>
      <c r="D498" s="35" t="s">
        <v>47</v>
      </c>
      <c r="E498" s="35" t="s">
        <v>64</v>
      </c>
      <c r="F498" s="35" t="s">
        <v>2438</v>
      </c>
      <c r="G498" s="55" t="s">
        <v>2489</v>
      </c>
    </row>
    <row r="499" spans="1:7" ht="12.5" x14ac:dyDescent="0.25">
      <c r="A499" s="54">
        <v>180</v>
      </c>
      <c r="B499" s="35" t="s">
        <v>2482</v>
      </c>
      <c r="C499" s="35" t="s">
        <v>50</v>
      </c>
      <c r="D499" s="35" t="s">
        <v>47</v>
      </c>
      <c r="E499" s="35" t="s">
        <v>49</v>
      </c>
      <c r="F499" s="35" t="s">
        <v>2490</v>
      </c>
      <c r="G499" s="55" t="s">
        <v>2491</v>
      </c>
    </row>
    <row r="500" spans="1:7" ht="12.5" x14ac:dyDescent="0.25">
      <c r="A500" s="54">
        <v>181</v>
      </c>
      <c r="B500" s="35" t="s">
        <v>2472</v>
      </c>
      <c r="C500" s="35" t="s">
        <v>50</v>
      </c>
      <c r="D500" s="35" t="s">
        <v>52</v>
      </c>
      <c r="E500" s="35" t="s">
        <v>426</v>
      </c>
      <c r="F500" s="35" t="s">
        <v>2492</v>
      </c>
      <c r="G500" s="55" t="s">
        <v>2493</v>
      </c>
    </row>
    <row r="501" spans="1:7" ht="12.5" x14ac:dyDescent="0.25">
      <c r="A501" s="54">
        <v>182</v>
      </c>
      <c r="B501" s="35" t="s">
        <v>2466</v>
      </c>
      <c r="C501" s="35" t="s">
        <v>50</v>
      </c>
      <c r="D501" s="35" t="s">
        <v>52</v>
      </c>
      <c r="E501" s="35" t="s">
        <v>426</v>
      </c>
      <c r="F501" s="35" t="s">
        <v>2494</v>
      </c>
      <c r="G501" s="55" t="s">
        <v>2495</v>
      </c>
    </row>
    <row r="502" spans="1:7" ht="12.5" x14ac:dyDescent="0.25">
      <c r="A502" s="54">
        <v>183</v>
      </c>
      <c r="B502" s="35" t="s">
        <v>2446</v>
      </c>
      <c r="C502" s="35" t="s">
        <v>50</v>
      </c>
      <c r="D502" s="35" t="s">
        <v>52</v>
      </c>
      <c r="E502" s="35" t="s">
        <v>426</v>
      </c>
      <c r="F502" s="35" t="s">
        <v>2474</v>
      </c>
      <c r="G502" s="55" t="s">
        <v>2496</v>
      </c>
    </row>
    <row r="503" spans="1:7" ht="12.5" x14ac:dyDescent="0.25">
      <c r="A503" s="54">
        <v>184</v>
      </c>
      <c r="B503" s="35" t="s">
        <v>2457</v>
      </c>
      <c r="C503" s="35" t="s">
        <v>50</v>
      </c>
      <c r="D503" s="35" t="s">
        <v>52</v>
      </c>
      <c r="E503" s="35" t="s">
        <v>90</v>
      </c>
      <c r="F503" s="35" t="s">
        <v>2497</v>
      </c>
      <c r="G503" s="55" t="s">
        <v>2498</v>
      </c>
    </row>
    <row r="504" spans="1:7" ht="12.5" x14ac:dyDescent="0.25">
      <c r="A504" s="54">
        <v>185</v>
      </c>
      <c r="B504" s="35" t="s">
        <v>2499</v>
      </c>
      <c r="C504" s="35" t="s">
        <v>16</v>
      </c>
      <c r="D504" s="35" t="s">
        <v>13</v>
      </c>
      <c r="E504" s="35" t="s">
        <v>581</v>
      </c>
      <c r="F504" s="35" t="s">
        <v>2483</v>
      </c>
      <c r="G504" s="55" t="s">
        <v>2500</v>
      </c>
    </row>
    <row r="505" spans="1:7" ht="12.5" x14ac:dyDescent="0.25">
      <c r="A505" s="54">
        <v>186</v>
      </c>
      <c r="B505" s="35" t="s">
        <v>2499</v>
      </c>
      <c r="C505" s="35" t="s">
        <v>50</v>
      </c>
      <c r="D505" s="35" t="s">
        <v>13</v>
      </c>
      <c r="E505" s="35" t="s">
        <v>700</v>
      </c>
      <c r="F505" s="35" t="s">
        <v>2483</v>
      </c>
      <c r="G505" s="55" t="s">
        <v>2501</v>
      </c>
    </row>
    <row r="506" spans="1:7" ht="12.5" x14ac:dyDescent="0.25">
      <c r="A506" s="54">
        <v>187</v>
      </c>
      <c r="B506" s="35" t="s">
        <v>2502</v>
      </c>
      <c r="C506" s="35" t="s">
        <v>16</v>
      </c>
      <c r="D506" s="35" t="s">
        <v>31</v>
      </c>
      <c r="E506" s="35" t="s">
        <v>191</v>
      </c>
      <c r="F506" s="35" t="s">
        <v>2483</v>
      </c>
      <c r="G506" s="55" t="s">
        <v>2503</v>
      </c>
    </row>
    <row r="507" spans="1:7" ht="12.5" x14ac:dyDescent="0.25">
      <c r="A507" s="54">
        <v>188</v>
      </c>
      <c r="B507" s="35" t="s">
        <v>2504</v>
      </c>
      <c r="C507" s="35" t="s">
        <v>155</v>
      </c>
      <c r="D507" s="35" t="s">
        <v>31</v>
      </c>
      <c r="E507" s="35" t="s">
        <v>191</v>
      </c>
      <c r="F507" s="35" t="s">
        <v>2505</v>
      </c>
      <c r="G507" s="55" t="s">
        <v>2506</v>
      </c>
    </row>
    <row r="508" spans="1:7" ht="12.5" x14ac:dyDescent="0.25">
      <c r="A508" s="54">
        <v>189</v>
      </c>
      <c r="B508" s="35" t="s">
        <v>2502</v>
      </c>
      <c r="C508" s="35" t="s">
        <v>50</v>
      </c>
      <c r="D508" s="35" t="s">
        <v>31</v>
      </c>
      <c r="E508" s="35" t="s">
        <v>49</v>
      </c>
      <c r="F508" s="35" t="s">
        <v>2483</v>
      </c>
      <c r="G508" s="55" t="s">
        <v>2507</v>
      </c>
    </row>
    <row r="509" spans="1:7" ht="12.5" x14ac:dyDescent="0.25">
      <c r="A509" s="54">
        <v>190</v>
      </c>
      <c r="B509" s="35" t="s">
        <v>2508</v>
      </c>
      <c r="C509" s="35" t="s">
        <v>16</v>
      </c>
      <c r="D509" s="35" t="s">
        <v>41</v>
      </c>
      <c r="E509" s="35" t="s">
        <v>581</v>
      </c>
      <c r="F509" s="35" t="s">
        <v>2483</v>
      </c>
      <c r="G509" s="55" t="s">
        <v>2509</v>
      </c>
    </row>
    <row r="510" spans="1:7" ht="12.5" x14ac:dyDescent="0.25">
      <c r="A510" s="54">
        <v>191</v>
      </c>
      <c r="B510" s="35" t="s">
        <v>2510</v>
      </c>
      <c r="C510" s="35" t="s">
        <v>16</v>
      </c>
      <c r="D510" s="35" t="s">
        <v>41</v>
      </c>
      <c r="E510" s="35" t="s">
        <v>191</v>
      </c>
      <c r="F510" s="35" t="s">
        <v>2511</v>
      </c>
      <c r="G510" s="55" t="s">
        <v>2512</v>
      </c>
    </row>
    <row r="511" spans="1:7" ht="12.5" x14ac:dyDescent="0.25">
      <c r="A511" s="54">
        <v>192</v>
      </c>
      <c r="B511" s="35" t="s">
        <v>2508</v>
      </c>
      <c r="C511" s="35" t="s">
        <v>50</v>
      </c>
      <c r="D511" s="35" t="s">
        <v>41</v>
      </c>
      <c r="E511" s="35" t="s">
        <v>49</v>
      </c>
      <c r="F511" s="35" t="s">
        <v>2483</v>
      </c>
      <c r="G511" s="55" t="s">
        <v>2513</v>
      </c>
    </row>
    <row r="512" spans="1:7" ht="12.5" x14ac:dyDescent="0.25">
      <c r="A512" s="54">
        <v>193</v>
      </c>
      <c r="B512" s="35" t="s">
        <v>2514</v>
      </c>
      <c r="C512" s="35" t="s">
        <v>16</v>
      </c>
      <c r="D512" s="35" t="s">
        <v>47</v>
      </c>
      <c r="E512" s="35" t="s">
        <v>14</v>
      </c>
      <c r="F512" s="35" t="s">
        <v>2478</v>
      </c>
      <c r="G512" s="55" t="s">
        <v>2515</v>
      </c>
    </row>
    <row r="513" spans="1:7" ht="12.5" x14ac:dyDescent="0.25">
      <c r="A513" s="54">
        <v>194</v>
      </c>
      <c r="B513" s="35" t="s">
        <v>2516</v>
      </c>
      <c r="C513" s="35" t="s">
        <v>16</v>
      </c>
      <c r="D513" s="35" t="s">
        <v>47</v>
      </c>
      <c r="E513" s="35" t="s">
        <v>191</v>
      </c>
      <c r="F513" s="35" t="s">
        <v>2505</v>
      </c>
      <c r="G513" s="55" t="s">
        <v>2517</v>
      </c>
    </row>
    <row r="514" spans="1:7" ht="12.5" x14ac:dyDescent="0.25">
      <c r="A514" s="54">
        <v>195</v>
      </c>
      <c r="B514" s="35" t="s">
        <v>2518</v>
      </c>
      <c r="C514" s="35" t="s">
        <v>16</v>
      </c>
      <c r="D514" s="35" t="s">
        <v>47</v>
      </c>
      <c r="E514" s="35" t="s">
        <v>191</v>
      </c>
      <c r="F514" s="35" t="s">
        <v>2519</v>
      </c>
      <c r="G514" s="55" t="s">
        <v>2520</v>
      </c>
    </row>
    <row r="515" spans="1:7" ht="12.5" x14ac:dyDescent="0.25">
      <c r="A515" s="54">
        <v>196</v>
      </c>
      <c r="B515" s="35" t="s">
        <v>2521</v>
      </c>
      <c r="C515" s="35" t="s">
        <v>16</v>
      </c>
      <c r="D515" s="35" t="s">
        <v>47</v>
      </c>
      <c r="E515" s="35" t="s">
        <v>191</v>
      </c>
      <c r="F515" s="35" t="s">
        <v>2522</v>
      </c>
      <c r="G515" s="55" t="s">
        <v>2523</v>
      </c>
    </row>
    <row r="516" spans="1:7" ht="12.5" x14ac:dyDescent="0.25">
      <c r="A516" s="54">
        <v>197</v>
      </c>
      <c r="B516" s="35" t="s">
        <v>2518</v>
      </c>
      <c r="C516" s="35" t="s">
        <v>144</v>
      </c>
      <c r="D516" s="35" t="s">
        <v>47</v>
      </c>
      <c r="E516" s="35" t="s">
        <v>49</v>
      </c>
      <c r="F516" s="35" t="s">
        <v>2519</v>
      </c>
      <c r="G516" s="55" t="s">
        <v>2524</v>
      </c>
    </row>
    <row r="517" spans="1:7" ht="12.5" x14ac:dyDescent="0.25">
      <c r="A517" s="54">
        <v>198</v>
      </c>
      <c r="B517" s="35" t="s">
        <v>2525</v>
      </c>
      <c r="C517" s="35" t="s">
        <v>16</v>
      </c>
      <c r="D517" s="35" t="s">
        <v>52</v>
      </c>
      <c r="E517" s="35" t="s">
        <v>154</v>
      </c>
      <c r="F517" s="35" t="s">
        <v>2522</v>
      </c>
      <c r="G517" s="55" t="s">
        <v>2526</v>
      </c>
    </row>
    <row r="518" spans="1:7" ht="12.5" x14ac:dyDescent="0.25">
      <c r="A518" s="54">
        <v>199</v>
      </c>
      <c r="B518" s="35" t="s">
        <v>2527</v>
      </c>
      <c r="C518" s="35" t="s">
        <v>16</v>
      </c>
      <c r="D518" s="35" t="s">
        <v>52</v>
      </c>
      <c r="E518" s="35" t="s">
        <v>235</v>
      </c>
      <c r="F518" s="35" t="s">
        <v>2505</v>
      </c>
      <c r="G518" s="55" t="s">
        <v>2528</v>
      </c>
    </row>
    <row r="519" spans="1:7" ht="12.5" x14ac:dyDescent="0.25">
      <c r="A519" s="54">
        <v>200</v>
      </c>
      <c r="B519" s="35" t="s">
        <v>2529</v>
      </c>
      <c r="C519" s="35" t="s">
        <v>16</v>
      </c>
      <c r="D519" s="35" t="s">
        <v>13</v>
      </c>
      <c r="E519" s="35" t="s">
        <v>132</v>
      </c>
      <c r="F519" s="35" t="s">
        <v>2458</v>
      </c>
      <c r="G519" s="55" t="s">
        <v>2530</v>
      </c>
    </row>
    <row r="520" spans="1:7" ht="12.5" x14ac:dyDescent="0.25">
      <c r="A520" s="54">
        <v>201</v>
      </c>
      <c r="B520" s="35" t="s">
        <v>2531</v>
      </c>
      <c r="C520" s="35" t="s">
        <v>16</v>
      </c>
      <c r="D520" s="35" t="s">
        <v>13</v>
      </c>
      <c r="E520" s="35" t="s">
        <v>14</v>
      </c>
      <c r="F520" s="35" t="s">
        <v>2532</v>
      </c>
      <c r="G520" s="55" t="s">
        <v>2533</v>
      </c>
    </row>
    <row r="521" spans="1:7" ht="12.5" x14ac:dyDescent="0.25">
      <c r="A521" s="54">
        <v>202</v>
      </c>
      <c r="B521" s="35" t="s">
        <v>2529</v>
      </c>
      <c r="C521" s="35" t="s">
        <v>50</v>
      </c>
      <c r="D521" s="35" t="s">
        <v>13</v>
      </c>
      <c r="E521" s="35" t="s">
        <v>423</v>
      </c>
      <c r="F521" s="35" t="s">
        <v>2458</v>
      </c>
      <c r="G521" s="55" t="s">
        <v>2534</v>
      </c>
    </row>
    <row r="522" spans="1:7" ht="12.5" x14ac:dyDescent="0.25">
      <c r="A522" s="54">
        <v>203</v>
      </c>
      <c r="B522" s="35" t="s">
        <v>2531</v>
      </c>
      <c r="C522" s="35" t="s">
        <v>50</v>
      </c>
      <c r="D522" s="35" t="s">
        <v>13</v>
      </c>
      <c r="E522" s="35" t="s">
        <v>147</v>
      </c>
      <c r="F522" s="35" t="s">
        <v>2532</v>
      </c>
      <c r="G522" s="55" t="s">
        <v>2535</v>
      </c>
    </row>
    <row r="523" spans="1:7" ht="12.5" x14ac:dyDescent="0.25">
      <c r="A523" s="54">
        <v>204</v>
      </c>
      <c r="B523" s="35" t="s">
        <v>2536</v>
      </c>
      <c r="C523" s="35" t="s">
        <v>16</v>
      </c>
      <c r="D523" s="35" t="s">
        <v>31</v>
      </c>
      <c r="E523" s="35" t="s">
        <v>25</v>
      </c>
      <c r="F523" s="35" t="s">
        <v>2537</v>
      </c>
      <c r="G523" s="55" t="s">
        <v>2538</v>
      </c>
    </row>
    <row r="524" spans="1:7" ht="12.5" x14ac:dyDescent="0.25">
      <c r="A524" s="54">
        <v>205</v>
      </c>
      <c r="B524" s="35" t="s">
        <v>2529</v>
      </c>
      <c r="C524" s="35" t="s">
        <v>155</v>
      </c>
      <c r="D524" s="35" t="s">
        <v>41</v>
      </c>
      <c r="E524" s="35" t="s">
        <v>132</v>
      </c>
      <c r="F524" s="35" t="s">
        <v>2458</v>
      </c>
      <c r="G524" s="55" t="s">
        <v>2539</v>
      </c>
    </row>
    <row r="525" spans="1:7" ht="12.5" x14ac:dyDescent="0.25">
      <c r="A525" s="54">
        <v>206</v>
      </c>
      <c r="B525" s="35" t="s">
        <v>2540</v>
      </c>
      <c r="C525" s="35" t="s">
        <v>16</v>
      </c>
      <c r="D525" s="35" t="s">
        <v>41</v>
      </c>
      <c r="E525" s="35" t="s">
        <v>14</v>
      </c>
      <c r="F525" s="35" t="s">
        <v>2461</v>
      </c>
      <c r="G525" s="55" t="s">
        <v>2541</v>
      </c>
    </row>
    <row r="526" spans="1:7" ht="12.5" x14ac:dyDescent="0.25">
      <c r="A526" s="54">
        <v>207</v>
      </c>
      <c r="B526" s="35" t="s">
        <v>2542</v>
      </c>
      <c r="C526" s="35" t="s">
        <v>16</v>
      </c>
      <c r="D526" s="35" t="s">
        <v>41</v>
      </c>
      <c r="E526" s="35" t="s">
        <v>191</v>
      </c>
      <c r="F526" s="35" t="s">
        <v>2543</v>
      </c>
      <c r="G526" s="55" t="s">
        <v>2544</v>
      </c>
    </row>
    <row r="527" spans="1:7" ht="12.5" x14ac:dyDescent="0.25">
      <c r="A527" s="54">
        <v>208</v>
      </c>
      <c r="B527" s="35" t="s">
        <v>2529</v>
      </c>
      <c r="C527" s="35" t="s">
        <v>144</v>
      </c>
      <c r="D527" s="35" t="s">
        <v>41</v>
      </c>
      <c r="E527" s="35" t="s">
        <v>423</v>
      </c>
      <c r="F527" s="35" t="s">
        <v>2458</v>
      </c>
      <c r="G527" s="55" t="s">
        <v>2545</v>
      </c>
    </row>
    <row r="528" spans="1:7" ht="12.5" x14ac:dyDescent="0.25">
      <c r="A528" s="54">
        <v>209</v>
      </c>
      <c r="B528" s="35" t="s">
        <v>2542</v>
      </c>
      <c r="C528" s="35" t="s">
        <v>50</v>
      </c>
      <c r="D528" s="35" t="s">
        <v>41</v>
      </c>
      <c r="E528" s="35" t="s">
        <v>49</v>
      </c>
      <c r="F528" s="35" t="s">
        <v>2546</v>
      </c>
      <c r="G528" s="55" t="s">
        <v>2547</v>
      </c>
    </row>
    <row r="529" spans="1:7" ht="12.5" x14ac:dyDescent="0.25">
      <c r="A529" s="54">
        <v>210</v>
      </c>
      <c r="B529" s="35" t="s">
        <v>2540</v>
      </c>
      <c r="C529" s="35" t="s">
        <v>50</v>
      </c>
      <c r="D529" s="35" t="s">
        <v>41</v>
      </c>
      <c r="E529" s="35" t="s">
        <v>138</v>
      </c>
      <c r="F529" s="35" t="s">
        <v>2543</v>
      </c>
      <c r="G529" s="55" t="s">
        <v>2548</v>
      </c>
    </row>
    <row r="530" spans="1:7" ht="12.5" x14ac:dyDescent="0.25">
      <c r="A530" s="54">
        <v>211</v>
      </c>
      <c r="B530" s="35" t="s">
        <v>2549</v>
      </c>
      <c r="C530" s="35" t="s">
        <v>16</v>
      </c>
      <c r="D530" s="35" t="s">
        <v>52</v>
      </c>
      <c r="E530" s="35" t="s">
        <v>14</v>
      </c>
      <c r="F530" s="35" t="s">
        <v>2532</v>
      </c>
      <c r="G530" s="55" t="s">
        <v>2550</v>
      </c>
    </row>
    <row r="531" spans="1:7" ht="12.5" x14ac:dyDescent="0.25">
      <c r="A531" s="54">
        <v>212</v>
      </c>
      <c r="B531" s="35" t="s">
        <v>2549</v>
      </c>
      <c r="C531" s="35" t="s">
        <v>50</v>
      </c>
      <c r="D531" s="35" t="s">
        <v>52</v>
      </c>
      <c r="E531" s="35" t="s">
        <v>90</v>
      </c>
      <c r="F531" s="35" t="s">
        <v>2532</v>
      </c>
      <c r="G531" s="55" t="s">
        <v>2551</v>
      </c>
    </row>
    <row r="532" spans="1:7" ht="12.5" x14ac:dyDescent="0.25">
      <c r="A532" s="54">
        <v>213</v>
      </c>
      <c r="B532" s="35" t="s">
        <v>2552</v>
      </c>
      <c r="C532" s="35" t="s">
        <v>16</v>
      </c>
      <c r="D532" s="35" t="s">
        <v>13</v>
      </c>
      <c r="E532" s="35" t="s">
        <v>745</v>
      </c>
      <c r="F532" s="35" t="s">
        <v>2553</v>
      </c>
      <c r="G532" s="55" t="s">
        <v>2554</v>
      </c>
    </row>
    <row r="533" spans="1:7" ht="12.5" x14ac:dyDescent="0.25">
      <c r="A533" s="54">
        <v>214</v>
      </c>
      <c r="B533" s="35" t="s">
        <v>2555</v>
      </c>
      <c r="C533" s="35" t="s">
        <v>16</v>
      </c>
      <c r="D533" s="35" t="s">
        <v>13</v>
      </c>
      <c r="E533" s="35" t="s">
        <v>750</v>
      </c>
      <c r="F533" s="35" t="s">
        <v>2553</v>
      </c>
      <c r="G533" s="55" t="s">
        <v>2556</v>
      </c>
    </row>
    <row r="534" spans="1:7" ht="12.5" x14ac:dyDescent="0.25">
      <c r="A534" s="54">
        <v>215</v>
      </c>
      <c r="B534" s="35" t="s">
        <v>2557</v>
      </c>
      <c r="C534" s="35" t="s">
        <v>16</v>
      </c>
      <c r="D534" s="35" t="s">
        <v>13</v>
      </c>
      <c r="E534" s="35" t="s">
        <v>750</v>
      </c>
      <c r="F534" s="35" t="s">
        <v>2558</v>
      </c>
      <c r="G534" s="55" t="s">
        <v>2559</v>
      </c>
    </row>
    <row r="535" spans="1:7" ht="12.5" x14ac:dyDescent="0.25">
      <c r="A535" s="54">
        <v>216</v>
      </c>
      <c r="B535" s="35" t="s">
        <v>2560</v>
      </c>
      <c r="C535" s="35" t="s">
        <v>16</v>
      </c>
      <c r="D535" s="35" t="s">
        <v>31</v>
      </c>
      <c r="E535" s="35" t="s">
        <v>745</v>
      </c>
      <c r="F535" s="35" t="s">
        <v>2561</v>
      </c>
      <c r="G535" s="55" t="s">
        <v>2562</v>
      </c>
    </row>
    <row r="536" spans="1:7" ht="12.5" x14ac:dyDescent="0.25">
      <c r="A536" s="54">
        <v>217</v>
      </c>
      <c r="B536" s="35" t="s">
        <v>2563</v>
      </c>
      <c r="C536" s="35" t="s">
        <v>16</v>
      </c>
      <c r="D536" s="35" t="s">
        <v>31</v>
      </c>
      <c r="E536" s="35" t="s">
        <v>221</v>
      </c>
      <c r="F536" s="35" t="s">
        <v>2553</v>
      </c>
      <c r="G536" s="55" t="s">
        <v>2564</v>
      </c>
    </row>
    <row r="537" spans="1:7" ht="12.5" x14ac:dyDescent="0.25">
      <c r="A537" s="54">
        <v>218</v>
      </c>
      <c r="B537" s="35" t="s">
        <v>2563</v>
      </c>
      <c r="C537" s="35" t="s">
        <v>50</v>
      </c>
      <c r="D537" s="35" t="s">
        <v>31</v>
      </c>
      <c r="E537" s="35" t="s">
        <v>758</v>
      </c>
      <c r="F537" s="35" t="s">
        <v>2553</v>
      </c>
      <c r="G537" s="55" t="s">
        <v>2565</v>
      </c>
    </row>
    <row r="538" spans="1:7" ht="12.5" x14ac:dyDescent="0.25">
      <c r="A538" s="54">
        <v>219</v>
      </c>
      <c r="B538" s="35" t="s">
        <v>2566</v>
      </c>
      <c r="C538" s="35" t="s">
        <v>16</v>
      </c>
      <c r="D538" s="35" t="s">
        <v>41</v>
      </c>
      <c r="E538" s="35" t="s">
        <v>745</v>
      </c>
      <c r="F538" s="35" t="s">
        <v>2567</v>
      </c>
      <c r="G538" s="55" t="s">
        <v>2568</v>
      </c>
    </row>
    <row r="539" spans="1:7" ht="12.5" x14ac:dyDescent="0.25">
      <c r="A539" s="54">
        <v>220</v>
      </c>
      <c r="B539" s="35" t="s">
        <v>2569</v>
      </c>
      <c r="C539" s="35" t="s">
        <v>16</v>
      </c>
      <c r="D539" s="35" t="s">
        <v>41</v>
      </c>
      <c r="E539" s="35" t="s">
        <v>25</v>
      </c>
      <c r="F539" s="35" t="s">
        <v>2553</v>
      </c>
      <c r="G539" s="55" t="s">
        <v>2570</v>
      </c>
    </row>
    <row r="540" spans="1:7" ht="12.5" x14ac:dyDescent="0.25">
      <c r="A540" s="54">
        <v>221</v>
      </c>
      <c r="B540" s="35" t="s">
        <v>2571</v>
      </c>
      <c r="C540" s="35" t="s">
        <v>16</v>
      </c>
      <c r="D540" s="35" t="s">
        <v>41</v>
      </c>
      <c r="E540" s="35" t="s">
        <v>763</v>
      </c>
      <c r="F540" s="35" t="s">
        <v>2572</v>
      </c>
      <c r="G540" s="55" t="s">
        <v>2573</v>
      </c>
    </row>
    <row r="541" spans="1:7" ht="12.5" x14ac:dyDescent="0.25">
      <c r="A541" s="54">
        <v>222</v>
      </c>
      <c r="B541" s="35" t="s">
        <v>2574</v>
      </c>
      <c r="C541" s="35" t="s">
        <v>16</v>
      </c>
      <c r="D541" s="35" t="s">
        <v>41</v>
      </c>
      <c r="E541" s="35" t="s">
        <v>101</v>
      </c>
      <c r="F541" s="35" t="s">
        <v>2575</v>
      </c>
      <c r="G541" s="55" t="s">
        <v>2576</v>
      </c>
    </row>
    <row r="542" spans="1:7" ht="12.5" x14ac:dyDescent="0.25">
      <c r="A542" s="54">
        <v>223</v>
      </c>
      <c r="B542" s="35" t="s">
        <v>2577</v>
      </c>
      <c r="C542" s="35" t="s">
        <v>16</v>
      </c>
      <c r="D542" s="35" t="s">
        <v>41</v>
      </c>
      <c r="E542" s="35" t="s">
        <v>767</v>
      </c>
      <c r="F542" s="35" t="s">
        <v>2553</v>
      </c>
      <c r="G542" s="55" t="s">
        <v>2578</v>
      </c>
    </row>
    <row r="543" spans="1:7" ht="12.5" x14ac:dyDescent="0.25">
      <c r="A543" s="54">
        <v>224</v>
      </c>
      <c r="B543" s="35" t="s">
        <v>2579</v>
      </c>
      <c r="C543" s="35" t="s">
        <v>16</v>
      </c>
      <c r="D543" s="35" t="s">
        <v>47</v>
      </c>
      <c r="E543" s="35" t="s">
        <v>745</v>
      </c>
      <c r="F543" s="35" t="s">
        <v>2580</v>
      </c>
      <c r="G543" s="55" t="s">
        <v>2581</v>
      </c>
    </row>
    <row r="544" spans="1:7" ht="12.5" x14ac:dyDescent="0.25">
      <c r="A544" s="54">
        <v>225</v>
      </c>
      <c r="B544" s="35" t="s">
        <v>2582</v>
      </c>
      <c r="C544" s="35" t="s">
        <v>16</v>
      </c>
      <c r="D544" s="35" t="s">
        <v>47</v>
      </c>
      <c r="E544" s="35" t="s">
        <v>745</v>
      </c>
      <c r="F544" s="35" t="s">
        <v>2583</v>
      </c>
      <c r="G544" s="55" t="s">
        <v>2584</v>
      </c>
    </row>
    <row r="545" spans="1:7" ht="12.5" x14ac:dyDescent="0.25">
      <c r="A545" s="54">
        <v>226</v>
      </c>
      <c r="B545" s="35" t="s">
        <v>2585</v>
      </c>
      <c r="C545" s="35" t="s">
        <v>16</v>
      </c>
      <c r="D545" s="35" t="s">
        <v>47</v>
      </c>
      <c r="E545" s="35" t="s">
        <v>750</v>
      </c>
      <c r="F545" s="35" t="s">
        <v>2553</v>
      </c>
      <c r="G545" s="55" t="s">
        <v>2586</v>
      </c>
    </row>
    <row r="546" spans="1:7" ht="12.5" x14ac:dyDescent="0.25">
      <c r="A546" s="54">
        <v>227</v>
      </c>
      <c r="B546" s="35" t="s">
        <v>2587</v>
      </c>
      <c r="C546" s="35" t="s">
        <v>50</v>
      </c>
      <c r="D546" s="35" t="s">
        <v>47</v>
      </c>
      <c r="E546" s="35" t="s">
        <v>49</v>
      </c>
      <c r="F546" s="35" t="s">
        <v>2553</v>
      </c>
      <c r="G546" s="55" t="s">
        <v>2588</v>
      </c>
    </row>
    <row r="547" spans="1:7" ht="12.5" x14ac:dyDescent="0.25">
      <c r="A547" s="54">
        <v>228</v>
      </c>
      <c r="B547" s="35" t="s">
        <v>2589</v>
      </c>
      <c r="C547" s="35" t="s">
        <v>16</v>
      </c>
      <c r="D547" s="35" t="s">
        <v>52</v>
      </c>
      <c r="E547" s="35" t="s">
        <v>745</v>
      </c>
      <c r="F547" s="35" t="s">
        <v>2553</v>
      </c>
      <c r="G547" s="55" t="s">
        <v>2590</v>
      </c>
    </row>
    <row r="548" spans="1:7" ht="12.5" x14ac:dyDescent="0.25">
      <c r="A548" s="54">
        <v>229</v>
      </c>
      <c r="B548" s="35" t="s">
        <v>2591</v>
      </c>
      <c r="C548" s="35" t="s">
        <v>16</v>
      </c>
      <c r="D548" s="35" t="s">
        <v>52</v>
      </c>
      <c r="E548" s="35" t="s">
        <v>779</v>
      </c>
      <c r="F548" s="35" t="s">
        <v>2592</v>
      </c>
      <c r="G548" s="55" t="s">
        <v>2593</v>
      </c>
    </row>
    <row r="549" spans="1:7" ht="12.5" x14ac:dyDescent="0.25">
      <c r="A549" s="54">
        <v>230</v>
      </c>
      <c r="B549" s="35" t="s">
        <v>2594</v>
      </c>
      <c r="C549" s="35" t="s">
        <v>16</v>
      </c>
      <c r="D549" s="35" t="s">
        <v>52</v>
      </c>
      <c r="E549" s="35" t="s">
        <v>763</v>
      </c>
      <c r="F549" s="35" t="s">
        <v>2583</v>
      </c>
      <c r="G549" s="55" t="s">
        <v>2595</v>
      </c>
    </row>
    <row r="550" spans="1:7" ht="12.5" x14ac:dyDescent="0.25">
      <c r="A550" s="54">
        <v>231</v>
      </c>
      <c r="B550" s="35" t="s">
        <v>2596</v>
      </c>
      <c r="C550" s="35" t="s">
        <v>16</v>
      </c>
      <c r="D550" s="35" t="s">
        <v>13</v>
      </c>
      <c r="E550" s="35" t="s">
        <v>745</v>
      </c>
      <c r="F550" s="35" t="s">
        <v>2597</v>
      </c>
      <c r="G550" s="55" t="s">
        <v>2598</v>
      </c>
    </row>
    <row r="551" spans="1:7" ht="12.5" x14ac:dyDescent="0.25">
      <c r="A551" s="54">
        <v>232</v>
      </c>
      <c r="B551" s="35" t="s">
        <v>2599</v>
      </c>
      <c r="C551" s="35" t="s">
        <v>16</v>
      </c>
      <c r="D551" s="35" t="s">
        <v>13</v>
      </c>
      <c r="E551" s="35" t="s">
        <v>750</v>
      </c>
      <c r="F551" s="35" t="s">
        <v>2600</v>
      </c>
      <c r="G551" s="55" t="s">
        <v>2601</v>
      </c>
    </row>
    <row r="552" spans="1:7" ht="12.5" x14ac:dyDescent="0.25">
      <c r="A552" s="54">
        <v>233</v>
      </c>
      <c r="B552" s="35" t="s">
        <v>2602</v>
      </c>
      <c r="C552" s="35" t="s">
        <v>16</v>
      </c>
      <c r="D552" s="35" t="s">
        <v>13</v>
      </c>
      <c r="E552" s="35" t="s">
        <v>763</v>
      </c>
      <c r="F552" s="35" t="s">
        <v>2603</v>
      </c>
      <c r="G552" s="55" t="s">
        <v>2604</v>
      </c>
    </row>
    <row r="553" spans="1:7" ht="12.5" x14ac:dyDescent="0.25">
      <c r="A553" s="54">
        <v>234</v>
      </c>
      <c r="B553" s="35" t="s">
        <v>2605</v>
      </c>
      <c r="C553" s="35" t="s">
        <v>16</v>
      </c>
      <c r="D553" s="35" t="s">
        <v>31</v>
      </c>
      <c r="E553" s="35" t="s">
        <v>745</v>
      </c>
      <c r="F553" s="35" t="s">
        <v>2603</v>
      </c>
      <c r="G553" s="55" t="s">
        <v>2606</v>
      </c>
    </row>
    <row r="554" spans="1:7" ht="12.5" x14ac:dyDescent="0.25">
      <c r="A554" s="54">
        <v>235</v>
      </c>
      <c r="B554" s="35" t="s">
        <v>2607</v>
      </c>
      <c r="C554" s="35" t="s">
        <v>16</v>
      </c>
      <c r="D554" s="35" t="s">
        <v>31</v>
      </c>
      <c r="E554" s="35" t="s">
        <v>750</v>
      </c>
      <c r="F554" s="35" t="s">
        <v>2603</v>
      </c>
      <c r="G554" s="55" t="s">
        <v>2608</v>
      </c>
    </row>
    <row r="555" spans="1:7" ht="12.5" x14ac:dyDescent="0.25">
      <c r="A555" s="54">
        <v>236</v>
      </c>
      <c r="B555" s="35" t="s">
        <v>2609</v>
      </c>
      <c r="C555" s="35" t="s">
        <v>16</v>
      </c>
      <c r="D555" s="35" t="s">
        <v>41</v>
      </c>
      <c r="E555" s="35" t="s">
        <v>745</v>
      </c>
      <c r="F555" s="35" t="s">
        <v>2603</v>
      </c>
      <c r="G555" s="55" t="s">
        <v>2610</v>
      </c>
    </row>
    <row r="556" spans="1:7" ht="12.5" x14ac:dyDescent="0.25">
      <c r="A556" s="54">
        <v>237</v>
      </c>
      <c r="B556" s="35" t="s">
        <v>2611</v>
      </c>
      <c r="C556" s="35" t="s">
        <v>16</v>
      </c>
      <c r="D556" s="35" t="s">
        <v>41</v>
      </c>
      <c r="E556" s="35" t="s">
        <v>750</v>
      </c>
      <c r="F556" s="35" t="s">
        <v>2603</v>
      </c>
      <c r="G556" s="55" t="s">
        <v>2612</v>
      </c>
    </row>
    <row r="557" spans="1:7" ht="12.5" x14ac:dyDescent="0.25">
      <c r="A557" s="54">
        <v>238</v>
      </c>
      <c r="B557" s="35" t="s">
        <v>2613</v>
      </c>
      <c r="C557" s="35" t="s">
        <v>16</v>
      </c>
      <c r="D557" s="35" t="s">
        <v>41</v>
      </c>
      <c r="E557" s="35" t="s">
        <v>763</v>
      </c>
      <c r="F557" s="35" t="s">
        <v>2614</v>
      </c>
      <c r="G557" s="55" t="s">
        <v>2615</v>
      </c>
    </row>
    <row r="558" spans="1:7" ht="12.5" x14ac:dyDescent="0.25">
      <c r="A558" s="54">
        <v>239</v>
      </c>
      <c r="B558" s="35" t="s">
        <v>2616</v>
      </c>
      <c r="C558" s="35" t="s">
        <v>50</v>
      </c>
      <c r="D558" s="35" t="s">
        <v>47</v>
      </c>
      <c r="E558" s="35" t="s">
        <v>797</v>
      </c>
      <c r="F558" s="35" t="s">
        <v>2603</v>
      </c>
      <c r="G558" s="55" t="s">
        <v>2617</v>
      </c>
    </row>
    <row r="559" spans="1:7" ht="12.5" x14ac:dyDescent="0.25">
      <c r="A559" s="54">
        <v>240</v>
      </c>
      <c r="B559" s="35" t="s">
        <v>2618</v>
      </c>
      <c r="C559" s="35" t="s">
        <v>16</v>
      </c>
      <c r="D559" s="35" t="s">
        <v>47</v>
      </c>
      <c r="E559" s="35" t="s">
        <v>750</v>
      </c>
      <c r="F559" s="35" t="s">
        <v>2614</v>
      </c>
      <c r="G559" s="55" t="s">
        <v>2619</v>
      </c>
    </row>
    <row r="560" spans="1:7" ht="12.5" x14ac:dyDescent="0.25">
      <c r="A560" s="54">
        <v>241</v>
      </c>
      <c r="B560" s="35" t="s">
        <v>2620</v>
      </c>
      <c r="C560" s="35" t="s">
        <v>16</v>
      </c>
      <c r="D560" s="35" t="s">
        <v>52</v>
      </c>
      <c r="E560" s="35" t="s">
        <v>745</v>
      </c>
      <c r="F560" s="35" t="s">
        <v>2197</v>
      </c>
      <c r="G560" s="55" t="s">
        <v>2621</v>
      </c>
    </row>
    <row r="561" spans="1:7" ht="12.5" x14ac:dyDescent="0.25">
      <c r="A561" s="54">
        <v>242</v>
      </c>
      <c r="B561" s="35" t="s">
        <v>2622</v>
      </c>
      <c r="C561" s="35" t="s">
        <v>16</v>
      </c>
      <c r="D561" s="35" t="s">
        <v>52</v>
      </c>
      <c r="E561" s="35" t="s">
        <v>763</v>
      </c>
      <c r="F561" s="35" t="s">
        <v>2614</v>
      </c>
      <c r="G561" s="55" t="s">
        <v>2623</v>
      </c>
    </row>
    <row r="562" spans="1:7" ht="12.5" x14ac:dyDescent="0.25">
      <c r="A562" s="54">
        <v>243</v>
      </c>
      <c r="B562" s="35" t="s">
        <v>2624</v>
      </c>
      <c r="C562" s="35" t="s">
        <v>16</v>
      </c>
      <c r="D562" s="35" t="s">
        <v>13</v>
      </c>
      <c r="E562" s="35" t="s">
        <v>25</v>
      </c>
      <c r="F562" s="35" t="s">
        <v>2625</v>
      </c>
      <c r="G562" s="55" t="s">
        <v>2626</v>
      </c>
    </row>
    <row r="563" spans="1:7" ht="12.5" x14ac:dyDescent="0.25">
      <c r="A563" s="54">
        <v>244</v>
      </c>
      <c r="B563" s="35" t="s">
        <v>2627</v>
      </c>
      <c r="C563" s="35" t="s">
        <v>16</v>
      </c>
      <c r="D563" s="35" t="s">
        <v>13</v>
      </c>
      <c r="E563" s="35" t="s">
        <v>25</v>
      </c>
      <c r="F563" s="35" t="s">
        <v>2628</v>
      </c>
      <c r="G563" s="55" t="s">
        <v>2629</v>
      </c>
    </row>
    <row r="564" spans="1:7" ht="12.5" x14ac:dyDescent="0.25">
      <c r="A564" s="54">
        <v>245</v>
      </c>
      <c r="B564" s="35" t="s">
        <v>2630</v>
      </c>
      <c r="C564" s="35" t="s">
        <v>16</v>
      </c>
      <c r="D564" s="35" t="s">
        <v>13</v>
      </c>
      <c r="E564" s="35" t="s">
        <v>64</v>
      </c>
      <c r="F564" s="35" t="s">
        <v>2631</v>
      </c>
      <c r="G564" s="55" t="s">
        <v>2632</v>
      </c>
    </row>
    <row r="565" spans="1:7" ht="12.5" x14ac:dyDescent="0.25">
      <c r="A565" s="54">
        <v>246</v>
      </c>
      <c r="B565" s="35" t="s">
        <v>2633</v>
      </c>
      <c r="C565" s="35" t="s">
        <v>16</v>
      </c>
      <c r="D565" s="35" t="s">
        <v>31</v>
      </c>
      <c r="E565" s="35" t="s">
        <v>14</v>
      </c>
      <c r="F565" s="35" t="s">
        <v>2628</v>
      </c>
      <c r="G565" s="55" t="s">
        <v>2634</v>
      </c>
    </row>
    <row r="566" spans="1:7" ht="12.5" x14ac:dyDescent="0.25">
      <c r="A566" s="54">
        <v>247</v>
      </c>
      <c r="B566" s="35" t="s">
        <v>2633</v>
      </c>
      <c r="C566" s="35" t="s">
        <v>155</v>
      </c>
      <c r="D566" s="35" t="s">
        <v>31</v>
      </c>
      <c r="E566" s="35" t="s">
        <v>14</v>
      </c>
      <c r="F566" s="35" t="s">
        <v>2625</v>
      </c>
      <c r="G566" s="55" t="s">
        <v>2635</v>
      </c>
    </row>
    <row r="567" spans="1:7" ht="12.5" x14ac:dyDescent="0.25">
      <c r="A567" s="54">
        <v>248</v>
      </c>
      <c r="B567" s="35" t="s">
        <v>2636</v>
      </c>
      <c r="C567" s="35" t="s">
        <v>16</v>
      </c>
      <c r="D567" s="35" t="s">
        <v>31</v>
      </c>
      <c r="E567" s="35" t="s">
        <v>283</v>
      </c>
      <c r="F567" s="35" t="s">
        <v>2628</v>
      </c>
      <c r="G567" s="55" t="s">
        <v>2637</v>
      </c>
    </row>
    <row r="568" spans="1:7" ht="12.5" x14ac:dyDescent="0.25">
      <c r="A568" s="54">
        <v>249</v>
      </c>
      <c r="B568" s="35" t="s">
        <v>2638</v>
      </c>
      <c r="C568" s="35" t="s">
        <v>50</v>
      </c>
      <c r="D568" s="35" t="s">
        <v>31</v>
      </c>
      <c r="E568" s="35" t="s">
        <v>817</v>
      </c>
      <c r="F568" s="35" t="s">
        <v>2625</v>
      </c>
      <c r="G568" s="55" t="s">
        <v>2639</v>
      </c>
    </row>
    <row r="569" spans="1:7" ht="12.5" x14ac:dyDescent="0.25">
      <c r="A569" s="54">
        <v>250</v>
      </c>
      <c r="B569" s="35" t="s">
        <v>2638</v>
      </c>
      <c r="C569" s="35" t="s">
        <v>144</v>
      </c>
      <c r="D569" s="35" t="s">
        <v>31</v>
      </c>
      <c r="E569" s="35" t="s">
        <v>820</v>
      </c>
      <c r="F569" s="35" t="s">
        <v>2628</v>
      </c>
      <c r="G569" s="55" t="s">
        <v>2640</v>
      </c>
    </row>
    <row r="570" spans="1:7" ht="12.5" x14ac:dyDescent="0.25">
      <c r="A570" s="54">
        <v>251</v>
      </c>
      <c r="B570" s="35" t="s">
        <v>2641</v>
      </c>
      <c r="C570" s="35" t="s">
        <v>16</v>
      </c>
      <c r="D570" s="35" t="s">
        <v>41</v>
      </c>
      <c r="E570" s="35" t="s">
        <v>821</v>
      </c>
      <c r="F570" s="35" t="s">
        <v>2628</v>
      </c>
      <c r="G570" s="55" t="s">
        <v>2642</v>
      </c>
    </row>
    <row r="571" spans="1:7" ht="12.5" x14ac:dyDescent="0.25">
      <c r="A571" s="54">
        <v>252</v>
      </c>
      <c r="B571" s="35" t="s">
        <v>2638</v>
      </c>
      <c r="C571" s="35" t="s">
        <v>16</v>
      </c>
      <c r="D571" s="35" t="s">
        <v>41</v>
      </c>
      <c r="E571" s="35" t="s">
        <v>64</v>
      </c>
      <c r="F571" s="35" t="s">
        <v>2625</v>
      </c>
      <c r="G571" s="55" t="s">
        <v>2643</v>
      </c>
    </row>
    <row r="572" spans="1:7" ht="12.5" x14ac:dyDescent="0.25">
      <c r="A572" s="54">
        <v>253</v>
      </c>
      <c r="B572" s="35" t="s">
        <v>2638</v>
      </c>
      <c r="C572" s="35" t="s">
        <v>155</v>
      </c>
      <c r="D572" s="35" t="s">
        <v>41</v>
      </c>
      <c r="E572" s="35" t="s">
        <v>64</v>
      </c>
      <c r="F572" s="35" t="s">
        <v>2628</v>
      </c>
      <c r="G572" s="55" t="s">
        <v>2644</v>
      </c>
    </row>
    <row r="573" spans="1:7" ht="12.5" x14ac:dyDescent="0.25">
      <c r="A573" s="54">
        <v>254</v>
      </c>
      <c r="B573" s="35" t="s">
        <v>2645</v>
      </c>
      <c r="C573" s="35" t="s">
        <v>50</v>
      </c>
      <c r="D573" s="35" t="s">
        <v>41</v>
      </c>
      <c r="E573" s="35" t="s">
        <v>138</v>
      </c>
      <c r="F573" s="35" t="s">
        <v>2614</v>
      </c>
      <c r="G573" s="55" t="s">
        <v>2646</v>
      </c>
    </row>
    <row r="574" spans="1:7" ht="12.5" x14ac:dyDescent="0.25">
      <c r="A574" s="54">
        <v>255</v>
      </c>
      <c r="B574" s="35" t="s">
        <v>2647</v>
      </c>
      <c r="C574" s="35" t="s">
        <v>16</v>
      </c>
      <c r="D574" s="35" t="s">
        <v>47</v>
      </c>
      <c r="E574" s="35" t="s">
        <v>14</v>
      </c>
      <c r="F574" s="35" t="s">
        <v>2625</v>
      </c>
      <c r="G574" s="55" t="s">
        <v>2648</v>
      </c>
    </row>
    <row r="575" spans="1:7" ht="12.5" x14ac:dyDescent="0.25">
      <c r="A575" s="54">
        <v>256</v>
      </c>
      <c r="B575" s="35" t="s">
        <v>2647</v>
      </c>
      <c r="C575" s="35" t="s">
        <v>155</v>
      </c>
      <c r="D575" s="35" t="s">
        <v>47</v>
      </c>
      <c r="E575" s="35" t="s">
        <v>14</v>
      </c>
      <c r="F575" s="35" t="s">
        <v>2628</v>
      </c>
      <c r="G575" s="55" t="s">
        <v>2649</v>
      </c>
    </row>
    <row r="576" spans="1:7" ht="12.5" x14ac:dyDescent="0.25">
      <c r="A576" s="54">
        <v>257</v>
      </c>
      <c r="B576" s="35" t="s">
        <v>2650</v>
      </c>
      <c r="C576" s="35" t="s">
        <v>16</v>
      </c>
      <c r="D576" s="35" t="s">
        <v>47</v>
      </c>
      <c r="E576" s="35" t="s">
        <v>25</v>
      </c>
      <c r="F576" s="35" t="s">
        <v>2628</v>
      </c>
      <c r="G576" s="55" t="s">
        <v>2651</v>
      </c>
    </row>
    <row r="577" spans="1:7" ht="12.5" x14ac:dyDescent="0.25">
      <c r="A577" s="54">
        <v>258</v>
      </c>
      <c r="B577" s="35" t="s">
        <v>2652</v>
      </c>
      <c r="C577" s="35" t="s">
        <v>16</v>
      </c>
      <c r="D577" s="35" t="s">
        <v>52</v>
      </c>
      <c r="E577" s="35" t="s">
        <v>53</v>
      </c>
      <c r="F577" s="35" t="s">
        <v>2625</v>
      </c>
      <c r="G577" s="55" t="s">
        <v>2653</v>
      </c>
    </row>
    <row r="578" spans="1:7" ht="12.5" x14ac:dyDescent="0.25">
      <c r="A578" s="54">
        <v>259</v>
      </c>
      <c r="B578" s="35" t="s">
        <v>2624</v>
      </c>
      <c r="C578" s="35" t="s">
        <v>50</v>
      </c>
      <c r="D578" s="35" t="s">
        <v>52</v>
      </c>
      <c r="E578" s="35" t="s">
        <v>426</v>
      </c>
      <c r="F578" s="35" t="s">
        <v>2628</v>
      </c>
      <c r="G578" s="55" t="s">
        <v>2654</v>
      </c>
    </row>
    <row r="579" spans="1:7" ht="12.5" x14ac:dyDescent="0.25">
      <c r="A579" s="54">
        <v>260</v>
      </c>
      <c r="B579" s="35" t="s">
        <v>2645</v>
      </c>
      <c r="C579" s="35" t="s">
        <v>16</v>
      </c>
      <c r="D579" s="35" t="s">
        <v>52</v>
      </c>
      <c r="E579" s="35" t="s">
        <v>235</v>
      </c>
      <c r="F579" s="35" t="s">
        <v>2625</v>
      </c>
      <c r="G579" s="55" t="s">
        <v>2655</v>
      </c>
    </row>
    <row r="580" spans="1:7" ht="12.5" x14ac:dyDescent="0.25">
      <c r="A580" s="54">
        <v>261</v>
      </c>
      <c r="B580" s="35" t="s">
        <v>2656</v>
      </c>
      <c r="C580" s="35" t="s">
        <v>16</v>
      </c>
      <c r="D580" s="35" t="s">
        <v>195</v>
      </c>
      <c r="E580" s="35" t="s">
        <v>14</v>
      </c>
      <c r="F580" s="35" t="s">
        <v>2657</v>
      </c>
      <c r="G580" s="55" t="s">
        <v>2658</v>
      </c>
    </row>
    <row r="581" spans="1:7" ht="12.5" x14ac:dyDescent="0.25">
      <c r="A581" s="54">
        <v>262</v>
      </c>
      <c r="B581" s="35" t="s">
        <v>2659</v>
      </c>
      <c r="C581" s="35" t="s">
        <v>16</v>
      </c>
      <c r="D581" s="35" t="s">
        <v>195</v>
      </c>
      <c r="E581" s="35" t="s">
        <v>835</v>
      </c>
      <c r="F581" s="35" t="s">
        <v>2660</v>
      </c>
      <c r="G581" s="55" t="s">
        <v>2661</v>
      </c>
    </row>
    <row r="582" spans="1:7" ht="12.5" x14ac:dyDescent="0.25">
      <c r="A582" s="54">
        <v>263</v>
      </c>
      <c r="B582" s="35" t="s">
        <v>2662</v>
      </c>
      <c r="C582" s="35" t="s">
        <v>155</v>
      </c>
      <c r="D582" s="35" t="s">
        <v>195</v>
      </c>
      <c r="E582" s="35" t="s">
        <v>835</v>
      </c>
      <c r="F582" s="35" t="s">
        <v>2657</v>
      </c>
      <c r="G582" s="55" t="s">
        <v>2663</v>
      </c>
    </row>
    <row r="583" spans="1:7" ht="12.5" x14ac:dyDescent="0.25">
      <c r="A583" s="54">
        <v>264</v>
      </c>
      <c r="B583" s="35" t="s">
        <v>2659</v>
      </c>
      <c r="C583" s="35" t="s">
        <v>155</v>
      </c>
      <c r="D583" s="35" t="s">
        <v>195</v>
      </c>
      <c r="E583" s="35" t="s">
        <v>839</v>
      </c>
      <c r="F583" s="35" t="s">
        <v>2657</v>
      </c>
      <c r="G583" s="55" t="s">
        <v>2664</v>
      </c>
    </row>
    <row r="584" spans="1:7" ht="12.5" x14ac:dyDescent="0.25">
      <c r="A584" s="54">
        <v>265</v>
      </c>
      <c r="B584" s="35" t="s">
        <v>2662</v>
      </c>
      <c r="C584" s="35" t="s">
        <v>16</v>
      </c>
      <c r="D584" s="35" t="s">
        <v>195</v>
      </c>
      <c r="E584" s="35" t="s">
        <v>839</v>
      </c>
      <c r="F584" s="35" t="s">
        <v>2660</v>
      </c>
      <c r="G584" s="55" t="s">
        <v>2665</v>
      </c>
    </row>
    <row r="585" spans="1:7" ht="12.5" x14ac:dyDescent="0.25">
      <c r="A585" s="54">
        <v>266</v>
      </c>
      <c r="B585" s="35" t="s">
        <v>2666</v>
      </c>
      <c r="C585" s="35" t="s">
        <v>16</v>
      </c>
      <c r="D585" s="35" t="s">
        <v>195</v>
      </c>
      <c r="E585" s="35" t="s">
        <v>840</v>
      </c>
      <c r="F585" s="35" t="s">
        <v>2657</v>
      </c>
      <c r="G585" s="55" t="s">
        <v>2667</v>
      </c>
    </row>
    <row r="586" spans="1:7" ht="12.5" x14ac:dyDescent="0.25">
      <c r="A586" s="54">
        <v>267</v>
      </c>
      <c r="B586" s="35" t="s">
        <v>2668</v>
      </c>
      <c r="C586" s="35" t="s">
        <v>16</v>
      </c>
      <c r="D586" s="35" t="s">
        <v>195</v>
      </c>
      <c r="E586" s="35" t="s">
        <v>840</v>
      </c>
      <c r="F586" s="35" t="s">
        <v>2660</v>
      </c>
      <c r="G586" s="55" t="s">
        <v>2669</v>
      </c>
    </row>
    <row r="587" spans="1:7" ht="12.5" x14ac:dyDescent="0.25">
      <c r="A587" s="54">
        <v>268</v>
      </c>
      <c r="B587" s="35" t="s">
        <v>2670</v>
      </c>
      <c r="C587" s="35" t="s">
        <v>16</v>
      </c>
      <c r="D587" s="35" t="s">
        <v>195</v>
      </c>
      <c r="E587" s="35" t="s">
        <v>840</v>
      </c>
      <c r="F587" s="35" t="s">
        <v>2671</v>
      </c>
      <c r="G587" s="55" t="s">
        <v>2672</v>
      </c>
    </row>
    <row r="588" spans="1:7" ht="12.5" x14ac:dyDescent="0.25">
      <c r="A588" s="54">
        <v>269</v>
      </c>
      <c r="B588" s="35" t="s">
        <v>2666</v>
      </c>
      <c r="C588" s="35" t="s">
        <v>50</v>
      </c>
      <c r="D588" s="35" t="s">
        <v>195</v>
      </c>
      <c r="E588" s="35" t="s">
        <v>397</v>
      </c>
      <c r="F588" s="35" t="s">
        <v>2657</v>
      </c>
      <c r="G588" s="55" t="s">
        <v>2673</v>
      </c>
    </row>
    <row r="589" spans="1:7" ht="12.5" x14ac:dyDescent="0.25">
      <c r="A589" s="54">
        <v>270</v>
      </c>
      <c r="B589" s="35" t="s">
        <v>2668</v>
      </c>
      <c r="C589" s="35" t="s">
        <v>50</v>
      </c>
      <c r="D589" s="35" t="s">
        <v>195</v>
      </c>
      <c r="E589" s="35" t="s">
        <v>397</v>
      </c>
      <c r="F589" s="35" t="s">
        <v>2558</v>
      </c>
      <c r="G589" s="55" t="s">
        <v>2674</v>
      </c>
    </row>
    <row r="590" spans="1:7" ht="12.5" x14ac:dyDescent="0.25">
      <c r="A590" s="54">
        <v>271</v>
      </c>
      <c r="B590" s="35" t="s">
        <v>2675</v>
      </c>
      <c r="C590" s="35" t="s">
        <v>16</v>
      </c>
      <c r="D590" s="35" t="s">
        <v>13</v>
      </c>
      <c r="E590" s="35" t="s">
        <v>139</v>
      </c>
      <c r="F590" s="35" t="s">
        <v>2676</v>
      </c>
      <c r="G590" s="55" t="s">
        <v>2677</v>
      </c>
    </row>
    <row r="591" spans="1:7" ht="12.5" x14ac:dyDescent="0.25">
      <c r="A591" s="54">
        <v>272</v>
      </c>
      <c r="B591" s="35" t="s">
        <v>2675</v>
      </c>
      <c r="C591" s="35" t="s">
        <v>50</v>
      </c>
      <c r="D591" s="35" t="s">
        <v>13</v>
      </c>
      <c r="E591" s="35" t="s">
        <v>271</v>
      </c>
      <c r="F591" s="35" t="s">
        <v>2676</v>
      </c>
      <c r="G591" s="55" t="s">
        <v>2678</v>
      </c>
    </row>
    <row r="592" spans="1:7" ht="12.5" x14ac:dyDescent="0.25">
      <c r="A592" s="54">
        <v>273</v>
      </c>
      <c r="B592" s="35" t="s">
        <v>2679</v>
      </c>
      <c r="C592" s="35" t="s">
        <v>16</v>
      </c>
      <c r="D592" s="35" t="s">
        <v>13</v>
      </c>
      <c r="E592" s="35" t="s">
        <v>25</v>
      </c>
      <c r="F592" s="35" t="s">
        <v>2597</v>
      </c>
      <c r="G592" s="55" t="s">
        <v>2680</v>
      </c>
    </row>
    <row r="593" spans="1:7" ht="12.5" x14ac:dyDescent="0.25">
      <c r="A593" s="54">
        <v>274</v>
      </c>
      <c r="B593" s="35" t="s">
        <v>2681</v>
      </c>
      <c r="C593" s="35" t="s">
        <v>16</v>
      </c>
      <c r="D593" s="35" t="s">
        <v>13</v>
      </c>
      <c r="E593" s="35" t="s">
        <v>64</v>
      </c>
      <c r="F593" s="35" t="s">
        <v>2592</v>
      </c>
      <c r="G593" s="55" t="s">
        <v>2682</v>
      </c>
    </row>
    <row r="594" spans="1:7" ht="12.5" x14ac:dyDescent="0.25">
      <c r="A594" s="54">
        <v>275</v>
      </c>
      <c r="B594" s="35" t="s">
        <v>2683</v>
      </c>
      <c r="C594" s="35" t="s">
        <v>16</v>
      </c>
      <c r="D594" s="35" t="s">
        <v>13</v>
      </c>
      <c r="E594" s="35" t="s">
        <v>64</v>
      </c>
      <c r="F594" s="35" t="s">
        <v>2684</v>
      </c>
      <c r="G594" s="55" t="s">
        <v>2685</v>
      </c>
    </row>
    <row r="595" spans="1:7" ht="12.5" x14ac:dyDescent="0.25">
      <c r="A595" s="54">
        <v>276</v>
      </c>
      <c r="B595" s="35" t="s">
        <v>2686</v>
      </c>
      <c r="C595" s="35" t="s">
        <v>16</v>
      </c>
      <c r="D595" s="35" t="s">
        <v>13</v>
      </c>
      <c r="E595" s="35" t="s">
        <v>64</v>
      </c>
      <c r="F595" s="35" t="s">
        <v>2197</v>
      </c>
      <c r="G595" s="55" t="s">
        <v>2687</v>
      </c>
    </row>
    <row r="596" spans="1:7" ht="12.5" x14ac:dyDescent="0.25">
      <c r="A596" s="54">
        <v>277</v>
      </c>
      <c r="B596" s="35" t="s">
        <v>2679</v>
      </c>
      <c r="C596" s="35" t="s">
        <v>50</v>
      </c>
      <c r="D596" s="35" t="s">
        <v>13</v>
      </c>
      <c r="E596" s="35" t="s">
        <v>256</v>
      </c>
      <c r="F596" s="35" t="s">
        <v>2597</v>
      </c>
      <c r="G596" s="55" t="s">
        <v>2688</v>
      </c>
    </row>
    <row r="597" spans="1:7" ht="12.5" x14ac:dyDescent="0.25">
      <c r="A597" s="54">
        <v>278</v>
      </c>
      <c r="B597" s="35" t="s">
        <v>2686</v>
      </c>
      <c r="C597" s="35" t="s">
        <v>50</v>
      </c>
      <c r="D597" s="35" t="s">
        <v>13</v>
      </c>
      <c r="E597" s="35" t="s">
        <v>861</v>
      </c>
      <c r="F597" s="35" t="s">
        <v>2689</v>
      </c>
      <c r="G597" s="55" t="s">
        <v>2690</v>
      </c>
    </row>
    <row r="598" spans="1:7" ht="12.5" x14ac:dyDescent="0.25">
      <c r="A598" s="54">
        <v>279</v>
      </c>
      <c r="B598" s="35" t="s">
        <v>2683</v>
      </c>
      <c r="C598" s="35" t="s">
        <v>50</v>
      </c>
      <c r="D598" s="35" t="s">
        <v>13</v>
      </c>
      <c r="E598" s="35" t="s">
        <v>560</v>
      </c>
      <c r="F598" s="35" t="s">
        <v>2684</v>
      </c>
      <c r="G598" s="55" t="s">
        <v>2691</v>
      </c>
    </row>
    <row r="599" spans="1:7" ht="12.5" x14ac:dyDescent="0.25">
      <c r="A599" s="54">
        <v>280</v>
      </c>
      <c r="B599" s="35" t="s">
        <v>2681</v>
      </c>
      <c r="C599" s="35" t="s">
        <v>50</v>
      </c>
      <c r="D599" s="35" t="s">
        <v>13</v>
      </c>
      <c r="E599" s="35" t="s">
        <v>862</v>
      </c>
      <c r="F599" s="35" t="s">
        <v>2692</v>
      </c>
      <c r="G599" s="55" t="s">
        <v>2693</v>
      </c>
    </row>
    <row r="600" spans="1:7" ht="12.5" x14ac:dyDescent="0.25">
      <c r="A600" s="54">
        <v>281</v>
      </c>
      <c r="B600" s="35" t="s">
        <v>2694</v>
      </c>
      <c r="C600" s="35" t="s">
        <v>16</v>
      </c>
      <c r="D600" s="35" t="s">
        <v>31</v>
      </c>
      <c r="E600" s="35" t="s">
        <v>14</v>
      </c>
      <c r="F600" s="35" t="s">
        <v>2676</v>
      </c>
      <c r="G600" s="55" t="s">
        <v>2695</v>
      </c>
    </row>
    <row r="601" spans="1:7" ht="12.5" x14ac:dyDescent="0.25">
      <c r="A601" s="54">
        <v>282</v>
      </c>
      <c r="B601" s="35" t="s">
        <v>2696</v>
      </c>
      <c r="C601" s="35" t="s">
        <v>16</v>
      </c>
      <c r="D601" s="35" t="s">
        <v>31</v>
      </c>
      <c r="E601" s="35" t="s">
        <v>14</v>
      </c>
      <c r="F601" s="35" t="s">
        <v>2684</v>
      </c>
      <c r="G601" s="55" t="s">
        <v>2697</v>
      </c>
    </row>
    <row r="602" spans="1:7" ht="12.5" x14ac:dyDescent="0.25">
      <c r="A602" s="54">
        <v>283</v>
      </c>
      <c r="B602" s="35" t="s">
        <v>2694</v>
      </c>
      <c r="C602" s="35" t="s">
        <v>50</v>
      </c>
      <c r="D602" s="35" t="s">
        <v>31</v>
      </c>
      <c r="E602" s="35" t="s">
        <v>866</v>
      </c>
      <c r="F602" s="35" t="s">
        <v>2676</v>
      </c>
      <c r="G602" s="55" t="s">
        <v>2698</v>
      </c>
    </row>
    <row r="603" spans="1:7" ht="12.5" x14ac:dyDescent="0.25">
      <c r="A603" s="54">
        <v>284</v>
      </c>
      <c r="B603" s="35" t="s">
        <v>2696</v>
      </c>
      <c r="C603" s="35" t="s">
        <v>50</v>
      </c>
      <c r="D603" s="35" t="s">
        <v>31</v>
      </c>
      <c r="E603" s="35" t="s">
        <v>866</v>
      </c>
      <c r="F603" s="35" t="s">
        <v>2684</v>
      </c>
      <c r="G603" s="55" t="s">
        <v>2699</v>
      </c>
    </row>
    <row r="604" spans="1:7" ht="12.5" x14ac:dyDescent="0.25">
      <c r="A604" s="54">
        <v>285</v>
      </c>
      <c r="B604" s="35" t="s">
        <v>2700</v>
      </c>
      <c r="C604" s="35" t="s">
        <v>16</v>
      </c>
      <c r="D604" s="35" t="s">
        <v>31</v>
      </c>
      <c r="E604" s="35" t="s">
        <v>64</v>
      </c>
      <c r="F604" s="35" t="s">
        <v>2676</v>
      </c>
      <c r="G604" s="55" t="s">
        <v>2701</v>
      </c>
    </row>
    <row r="605" spans="1:7" ht="12.5" x14ac:dyDescent="0.25">
      <c r="A605" s="54">
        <v>286</v>
      </c>
      <c r="B605" s="35" t="s">
        <v>2702</v>
      </c>
      <c r="C605" s="35" t="s">
        <v>16</v>
      </c>
      <c r="D605" s="35" t="s">
        <v>31</v>
      </c>
      <c r="E605" s="35" t="s">
        <v>64</v>
      </c>
      <c r="F605" s="35" t="s">
        <v>2703</v>
      </c>
      <c r="G605" s="55" t="s">
        <v>2704</v>
      </c>
    </row>
    <row r="606" spans="1:7" ht="12.5" x14ac:dyDescent="0.25">
      <c r="A606" s="54">
        <v>287</v>
      </c>
      <c r="B606" s="35" t="s">
        <v>2700</v>
      </c>
      <c r="C606" s="35" t="s">
        <v>144</v>
      </c>
      <c r="D606" s="35" t="s">
        <v>31</v>
      </c>
      <c r="E606" s="35" t="s">
        <v>560</v>
      </c>
      <c r="F606" s="35" t="s">
        <v>2676</v>
      </c>
      <c r="G606" s="55" t="s">
        <v>2705</v>
      </c>
    </row>
    <row r="607" spans="1:7" ht="12.5" x14ac:dyDescent="0.25">
      <c r="A607" s="54">
        <v>288</v>
      </c>
      <c r="B607" s="35" t="s">
        <v>2702</v>
      </c>
      <c r="C607" s="35" t="s">
        <v>50</v>
      </c>
      <c r="D607" s="35" t="s">
        <v>31</v>
      </c>
      <c r="E607" s="35" t="s">
        <v>560</v>
      </c>
      <c r="F607" s="35" t="s">
        <v>2706</v>
      </c>
      <c r="G607" s="55" t="s">
        <v>2707</v>
      </c>
    </row>
    <row r="608" spans="1:7" ht="12.5" x14ac:dyDescent="0.25">
      <c r="A608" s="54">
        <v>289</v>
      </c>
      <c r="B608" s="35" t="s">
        <v>2708</v>
      </c>
      <c r="C608" s="35" t="s">
        <v>16</v>
      </c>
      <c r="D608" s="35" t="s">
        <v>41</v>
      </c>
      <c r="E608" s="35" t="s">
        <v>139</v>
      </c>
      <c r="F608" s="35" t="s">
        <v>2558</v>
      </c>
      <c r="G608" s="55" t="s">
        <v>2709</v>
      </c>
    </row>
    <row r="609" spans="1:7" ht="12.5" x14ac:dyDescent="0.25">
      <c r="A609" s="54">
        <v>290</v>
      </c>
      <c r="B609" s="35" t="s">
        <v>2710</v>
      </c>
      <c r="C609" s="35" t="s">
        <v>16</v>
      </c>
      <c r="D609" s="35" t="s">
        <v>41</v>
      </c>
      <c r="E609" s="35" t="s">
        <v>14</v>
      </c>
      <c r="F609" s="35" t="s">
        <v>2676</v>
      </c>
      <c r="G609" s="55" t="s">
        <v>2711</v>
      </c>
    </row>
    <row r="610" spans="1:7" ht="12.5" x14ac:dyDescent="0.25">
      <c r="A610" s="54">
        <v>291</v>
      </c>
      <c r="B610" s="35" t="s">
        <v>2712</v>
      </c>
      <c r="C610" s="35" t="s">
        <v>16</v>
      </c>
      <c r="D610" s="35" t="s">
        <v>41</v>
      </c>
      <c r="E610" s="35" t="s">
        <v>14</v>
      </c>
      <c r="F610" s="35" t="s">
        <v>2713</v>
      </c>
      <c r="G610" s="55" t="s">
        <v>2714</v>
      </c>
    </row>
    <row r="611" spans="1:7" ht="12.5" x14ac:dyDescent="0.25">
      <c r="A611" s="54">
        <v>292</v>
      </c>
      <c r="B611" s="35" t="s">
        <v>2715</v>
      </c>
      <c r="C611" s="35" t="s">
        <v>16</v>
      </c>
      <c r="D611" s="35" t="s">
        <v>41</v>
      </c>
      <c r="E611" s="35" t="s">
        <v>64</v>
      </c>
      <c r="F611" s="35" t="s">
        <v>2713</v>
      </c>
      <c r="G611" s="55" t="s">
        <v>2716</v>
      </c>
    </row>
    <row r="612" spans="1:7" ht="12.5" x14ac:dyDescent="0.25">
      <c r="A612" s="54">
        <v>293</v>
      </c>
      <c r="B612" s="35" t="s">
        <v>2710</v>
      </c>
      <c r="C612" s="35" t="s">
        <v>50</v>
      </c>
      <c r="D612" s="35" t="s">
        <v>41</v>
      </c>
      <c r="E612" s="35" t="s">
        <v>36</v>
      </c>
      <c r="F612" s="35" t="s">
        <v>2676</v>
      </c>
      <c r="G612" s="55" t="s">
        <v>2717</v>
      </c>
    </row>
    <row r="613" spans="1:7" ht="12.5" x14ac:dyDescent="0.25">
      <c r="A613" s="54">
        <v>294</v>
      </c>
      <c r="B613" s="35" t="s">
        <v>2708</v>
      </c>
      <c r="C613" s="35" t="s">
        <v>50</v>
      </c>
      <c r="D613" s="35" t="s">
        <v>41</v>
      </c>
      <c r="E613" s="35" t="s">
        <v>36</v>
      </c>
      <c r="F613" s="35" t="s">
        <v>2684</v>
      </c>
      <c r="G613" s="55" t="s">
        <v>2718</v>
      </c>
    </row>
    <row r="614" spans="1:7" ht="12.5" x14ac:dyDescent="0.25">
      <c r="A614" s="54">
        <v>295</v>
      </c>
      <c r="B614" s="35" t="s">
        <v>2715</v>
      </c>
      <c r="C614" s="35" t="s">
        <v>50</v>
      </c>
      <c r="D614" s="35" t="s">
        <v>41</v>
      </c>
      <c r="E614" s="35" t="s">
        <v>861</v>
      </c>
      <c r="F614" s="35" t="s">
        <v>2719</v>
      </c>
      <c r="G614" s="55" t="s">
        <v>2720</v>
      </c>
    </row>
    <row r="615" spans="1:7" ht="12.5" x14ac:dyDescent="0.25">
      <c r="A615" s="54">
        <v>296</v>
      </c>
      <c r="B615" s="35" t="s">
        <v>2721</v>
      </c>
      <c r="C615" s="35" t="s">
        <v>50</v>
      </c>
      <c r="D615" s="35" t="s">
        <v>47</v>
      </c>
      <c r="E615" s="35" t="s">
        <v>42</v>
      </c>
      <c r="F615" s="35" t="s">
        <v>2580</v>
      </c>
      <c r="G615" s="55" t="s">
        <v>2722</v>
      </c>
    </row>
    <row r="616" spans="1:7" ht="12.5" x14ac:dyDescent="0.25">
      <c r="A616" s="54">
        <v>297</v>
      </c>
      <c r="B616" s="35" t="s">
        <v>2721</v>
      </c>
      <c r="C616" s="35" t="s">
        <v>144</v>
      </c>
      <c r="D616" s="35" t="s">
        <v>47</v>
      </c>
      <c r="E616" s="35" t="s">
        <v>42</v>
      </c>
      <c r="F616" s="35" t="s">
        <v>2723</v>
      </c>
      <c r="G616" s="55" t="s">
        <v>2724</v>
      </c>
    </row>
    <row r="617" spans="1:7" ht="12.5" x14ac:dyDescent="0.25">
      <c r="A617" s="54">
        <v>298</v>
      </c>
      <c r="B617" s="35" t="s">
        <v>2721</v>
      </c>
      <c r="C617" s="35" t="s">
        <v>880</v>
      </c>
      <c r="D617" s="35" t="s">
        <v>47</v>
      </c>
      <c r="E617" s="35" t="s">
        <v>42</v>
      </c>
      <c r="F617" s="35" t="s">
        <v>2561</v>
      </c>
      <c r="G617" s="55" t="s">
        <v>2725</v>
      </c>
    </row>
    <row r="618" spans="1:7" ht="12.5" x14ac:dyDescent="0.25">
      <c r="A618" s="54">
        <v>299</v>
      </c>
      <c r="B618" s="35" t="s">
        <v>2721</v>
      </c>
      <c r="C618" s="35" t="s">
        <v>452</v>
      </c>
      <c r="D618" s="35" t="s">
        <v>47</v>
      </c>
      <c r="E618" s="35" t="s">
        <v>42</v>
      </c>
      <c r="F618" s="35" t="s">
        <v>2726</v>
      </c>
      <c r="G618" s="55" t="s">
        <v>2727</v>
      </c>
    </row>
    <row r="619" spans="1:7" ht="12.5" x14ac:dyDescent="0.25">
      <c r="A619" s="54">
        <v>300</v>
      </c>
      <c r="B619" s="35" t="s">
        <v>2721</v>
      </c>
      <c r="C619" s="35" t="s">
        <v>881</v>
      </c>
      <c r="D619" s="35" t="s">
        <v>47</v>
      </c>
      <c r="E619" s="35" t="s">
        <v>42</v>
      </c>
      <c r="F619" s="35" t="s">
        <v>2728</v>
      </c>
      <c r="G619" s="55" t="s">
        <v>2729</v>
      </c>
    </row>
    <row r="620" spans="1:7" ht="12.5" x14ac:dyDescent="0.25">
      <c r="A620" s="54">
        <v>301</v>
      </c>
      <c r="B620" s="35" t="s">
        <v>2730</v>
      </c>
      <c r="C620" s="35" t="s">
        <v>16</v>
      </c>
      <c r="D620" s="35" t="s">
        <v>47</v>
      </c>
      <c r="E620" s="35" t="s">
        <v>14</v>
      </c>
      <c r="F620" s="35" t="s">
        <v>2597</v>
      </c>
      <c r="G620" s="55" t="s">
        <v>2731</v>
      </c>
    </row>
    <row r="621" spans="1:7" ht="12.5" x14ac:dyDescent="0.25">
      <c r="A621" s="54">
        <v>302</v>
      </c>
      <c r="B621" s="35" t="s">
        <v>2732</v>
      </c>
      <c r="C621" s="35" t="s">
        <v>16</v>
      </c>
      <c r="D621" s="35" t="s">
        <v>47</v>
      </c>
      <c r="E621" s="35" t="s">
        <v>14</v>
      </c>
      <c r="F621" s="35" t="s">
        <v>2676</v>
      </c>
      <c r="G621" s="55" t="s">
        <v>2733</v>
      </c>
    </row>
    <row r="622" spans="1:7" ht="12.5" x14ac:dyDescent="0.25">
      <c r="A622" s="54">
        <v>303</v>
      </c>
      <c r="B622" s="35" t="s">
        <v>2730</v>
      </c>
      <c r="C622" s="35" t="s">
        <v>50</v>
      </c>
      <c r="D622" s="35" t="s">
        <v>47</v>
      </c>
      <c r="E622" s="35" t="s">
        <v>866</v>
      </c>
      <c r="F622" s="35" t="s">
        <v>2597</v>
      </c>
      <c r="G622" s="55" t="s">
        <v>2734</v>
      </c>
    </row>
    <row r="623" spans="1:7" ht="12.5" x14ac:dyDescent="0.25">
      <c r="A623" s="54">
        <v>304</v>
      </c>
      <c r="B623" s="35" t="s">
        <v>2732</v>
      </c>
      <c r="C623" s="35" t="s">
        <v>50</v>
      </c>
      <c r="D623" s="35" t="s">
        <v>47</v>
      </c>
      <c r="E623" s="35" t="s">
        <v>866</v>
      </c>
      <c r="F623" s="35" t="s">
        <v>2580</v>
      </c>
      <c r="G623" s="55" t="s">
        <v>2735</v>
      </c>
    </row>
    <row r="624" spans="1:7" ht="12.5" x14ac:dyDescent="0.25">
      <c r="A624" s="54">
        <v>305</v>
      </c>
      <c r="B624" s="35" t="s">
        <v>2736</v>
      </c>
      <c r="C624" s="35" t="s">
        <v>50</v>
      </c>
      <c r="D624" s="35" t="s">
        <v>47</v>
      </c>
      <c r="E624" s="35" t="s">
        <v>385</v>
      </c>
      <c r="F624" s="35" t="s">
        <v>2713</v>
      </c>
      <c r="G624" s="55" t="s">
        <v>2737</v>
      </c>
    </row>
    <row r="625" spans="1:7" ht="12.5" x14ac:dyDescent="0.25">
      <c r="A625" s="54">
        <v>306</v>
      </c>
      <c r="B625" s="35" t="s">
        <v>2738</v>
      </c>
      <c r="C625" s="35" t="s">
        <v>16</v>
      </c>
      <c r="D625" s="35" t="s">
        <v>47</v>
      </c>
      <c r="E625" s="35" t="s">
        <v>64</v>
      </c>
      <c r="F625" s="35" t="s">
        <v>2739</v>
      </c>
      <c r="G625" s="55" t="s">
        <v>2740</v>
      </c>
    </row>
    <row r="626" spans="1:7" ht="12.5" x14ac:dyDescent="0.25">
      <c r="A626" s="54">
        <v>307</v>
      </c>
      <c r="B626" s="35" t="s">
        <v>2741</v>
      </c>
      <c r="C626" s="35" t="s">
        <v>16</v>
      </c>
      <c r="D626" s="35" t="s">
        <v>47</v>
      </c>
      <c r="E626" s="35" t="s">
        <v>64</v>
      </c>
      <c r="F626" s="35" t="s">
        <v>2597</v>
      </c>
      <c r="G626" s="55" t="s">
        <v>2742</v>
      </c>
    </row>
    <row r="627" spans="1:7" ht="12.5" x14ac:dyDescent="0.25">
      <c r="A627" s="54">
        <v>308</v>
      </c>
      <c r="B627" s="35" t="s">
        <v>2721</v>
      </c>
      <c r="C627" s="35" t="s">
        <v>891</v>
      </c>
      <c r="D627" s="35" t="s">
        <v>47</v>
      </c>
      <c r="E627" s="35" t="s">
        <v>36</v>
      </c>
      <c r="F627" s="35" t="s">
        <v>2723</v>
      </c>
      <c r="G627" s="55" t="s">
        <v>2743</v>
      </c>
    </row>
    <row r="628" spans="1:7" ht="12.5" x14ac:dyDescent="0.25">
      <c r="A628" s="54">
        <v>309</v>
      </c>
      <c r="B628" s="35" t="s">
        <v>2721</v>
      </c>
      <c r="C628" s="35" t="s">
        <v>892</v>
      </c>
      <c r="D628" s="35" t="s">
        <v>47</v>
      </c>
      <c r="E628" s="35" t="s">
        <v>36</v>
      </c>
      <c r="F628" s="35" t="s">
        <v>2744</v>
      </c>
      <c r="G628" s="55" t="s">
        <v>2745</v>
      </c>
    </row>
    <row r="629" spans="1:7" ht="12.5" x14ac:dyDescent="0.25">
      <c r="A629" s="54">
        <v>310</v>
      </c>
      <c r="B629" s="35" t="s">
        <v>2721</v>
      </c>
      <c r="C629" s="35" t="s">
        <v>893</v>
      </c>
      <c r="D629" s="35" t="s">
        <v>47</v>
      </c>
      <c r="E629" s="35" t="s">
        <v>36</v>
      </c>
      <c r="F629" s="35" t="s">
        <v>2676</v>
      </c>
      <c r="G629" s="55" t="s">
        <v>2746</v>
      </c>
    </row>
    <row r="630" spans="1:7" ht="12.5" x14ac:dyDescent="0.25">
      <c r="A630" s="54">
        <v>311</v>
      </c>
      <c r="B630" s="35" t="s">
        <v>2721</v>
      </c>
      <c r="C630" s="35" t="s">
        <v>894</v>
      </c>
      <c r="D630" s="35" t="s">
        <v>47</v>
      </c>
      <c r="E630" s="35" t="s">
        <v>36</v>
      </c>
      <c r="F630" s="35" t="s">
        <v>2558</v>
      </c>
      <c r="G630" s="55" t="s">
        <v>2747</v>
      </c>
    </row>
    <row r="631" spans="1:7" ht="12.5" x14ac:dyDescent="0.25">
      <c r="A631" s="54">
        <v>312</v>
      </c>
      <c r="B631" s="35" t="s">
        <v>2721</v>
      </c>
      <c r="C631" s="35" t="s">
        <v>895</v>
      </c>
      <c r="D631" s="35" t="s">
        <v>47</v>
      </c>
      <c r="E631" s="35" t="s">
        <v>36</v>
      </c>
      <c r="F631" s="35" t="s">
        <v>2748</v>
      </c>
      <c r="G631" s="55" t="s">
        <v>2749</v>
      </c>
    </row>
    <row r="632" spans="1:7" ht="12.5" x14ac:dyDescent="0.25">
      <c r="A632" s="54">
        <v>313</v>
      </c>
      <c r="B632" s="35" t="s">
        <v>2741</v>
      </c>
      <c r="C632" s="35" t="s">
        <v>50</v>
      </c>
      <c r="D632" s="35" t="s">
        <v>47</v>
      </c>
      <c r="E632" s="35" t="s">
        <v>861</v>
      </c>
      <c r="F632" s="35" t="s">
        <v>2597</v>
      </c>
      <c r="G632" s="55" t="s">
        <v>2750</v>
      </c>
    </row>
    <row r="633" spans="1:7" ht="12.5" x14ac:dyDescent="0.25">
      <c r="A633" s="54">
        <v>314</v>
      </c>
      <c r="B633" s="35" t="s">
        <v>2738</v>
      </c>
      <c r="C633" s="35" t="s">
        <v>50</v>
      </c>
      <c r="D633" s="35" t="s">
        <v>47</v>
      </c>
      <c r="E633" s="35" t="s">
        <v>138</v>
      </c>
      <c r="F633" s="35" t="s">
        <v>2751</v>
      </c>
      <c r="G633" s="55" t="s">
        <v>2752</v>
      </c>
    </row>
    <row r="634" spans="1:7" ht="12.5" x14ac:dyDescent="0.25">
      <c r="A634" s="54">
        <v>315</v>
      </c>
      <c r="B634" s="35" t="s">
        <v>2721</v>
      </c>
      <c r="C634" s="35" t="s">
        <v>897</v>
      </c>
      <c r="D634" s="35" t="s">
        <v>47</v>
      </c>
      <c r="E634" s="35" t="s">
        <v>896</v>
      </c>
      <c r="F634" s="35" t="s">
        <v>2753</v>
      </c>
      <c r="G634" s="55" t="s">
        <v>2754</v>
      </c>
    </row>
    <row r="635" spans="1:7" ht="12.5" x14ac:dyDescent="0.25">
      <c r="A635" s="54">
        <v>316</v>
      </c>
      <c r="B635" s="35" t="s">
        <v>2721</v>
      </c>
      <c r="C635" s="35" t="s">
        <v>898</v>
      </c>
      <c r="D635" s="35" t="s">
        <v>47</v>
      </c>
      <c r="E635" s="35" t="s">
        <v>896</v>
      </c>
      <c r="F635" s="35" t="s">
        <v>2755</v>
      </c>
      <c r="G635" s="55" t="s">
        <v>2756</v>
      </c>
    </row>
    <row r="636" spans="1:7" ht="12.5" x14ac:dyDescent="0.25">
      <c r="A636" s="54">
        <v>317</v>
      </c>
      <c r="B636" s="35" t="s">
        <v>2721</v>
      </c>
      <c r="C636" s="35" t="s">
        <v>899</v>
      </c>
      <c r="D636" s="35" t="s">
        <v>47</v>
      </c>
      <c r="E636" s="35" t="s">
        <v>896</v>
      </c>
      <c r="F636" s="35" t="s">
        <v>2757</v>
      </c>
      <c r="G636" s="55" t="s">
        <v>2758</v>
      </c>
    </row>
    <row r="637" spans="1:7" ht="12.5" x14ac:dyDescent="0.25">
      <c r="A637" s="54">
        <v>318</v>
      </c>
      <c r="B637" s="35" t="s">
        <v>2721</v>
      </c>
      <c r="C637" s="35" t="s">
        <v>900</v>
      </c>
      <c r="D637" s="35" t="s">
        <v>47</v>
      </c>
      <c r="E637" s="35" t="s">
        <v>896</v>
      </c>
      <c r="F637" s="35" t="s">
        <v>2759</v>
      </c>
      <c r="G637" s="55" t="s">
        <v>2760</v>
      </c>
    </row>
    <row r="638" spans="1:7" ht="12.5" x14ac:dyDescent="0.25">
      <c r="A638" s="54">
        <v>319</v>
      </c>
      <c r="B638" s="35" t="s">
        <v>2721</v>
      </c>
      <c r="C638" s="35" t="s">
        <v>901</v>
      </c>
      <c r="D638" s="35" t="s">
        <v>47</v>
      </c>
      <c r="E638" s="35" t="s">
        <v>896</v>
      </c>
      <c r="F638" s="35" t="s">
        <v>2553</v>
      </c>
      <c r="G638" s="55" t="s">
        <v>2761</v>
      </c>
    </row>
    <row r="639" spans="1:7" ht="12.5" x14ac:dyDescent="0.25">
      <c r="A639" s="54">
        <v>320</v>
      </c>
      <c r="B639" s="35" t="s">
        <v>2721</v>
      </c>
      <c r="C639" s="35" t="s">
        <v>902</v>
      </c>
      <c r="D639" s="35" t="s">
        <v>47</v>
      </c>
      <c r="E639" s="35" t="s">
        <v>896</v>
      </c>
      <c r="F639" s="35" t="s">
        <v>2762</v>
      </c>
      <c r="G639" s="55" t="s">
        <v>2763</v>
      </c>
    </row>
    <row r="640" spans="1:7" ht="12.5" x14ac:dyDescent="0.25">
      <c r="A640" s="54">
        <v>321</v>
      </c>
      <c r="B640" s="35" t="s">
        <v>2764</v>
      </c>
      <c r="C640" s="35" t="s">
        <v>16</v>
      </c>
      <c r="D640" s="35" t="s">
        <v>52</v>
      </c>
      <c r="E640" s="35" t="s">
        <v>14</v>
      </c>
      <c r="F640" s="35" t="s">
        <v>2713</v>
      </c>
      <c r="G640" s="55" t="s">
        <v>2765</v>
      </c>
    </row>
    <row r="641" spans="1:7" ht="12.5" x14ac:dyDescent="0.25">
      <c r="A641" s="54">
        <v>322</v>
      </c>
      <c r="B641" s="35" t="s">
        <v>2764</v>
      </c>
      <c r="C641" s="35" t="s">
        <v>50</v>
      </c>
      <c r="D641" s="35" t="s">
        <v>52</v>
      </c>
      <c r="E641" s="35" t="s">
        <v>866</v>
      </c>
      <c r="F641" s="35" t="s">
        <v>2713</v>
      </c>
      <c r="G641" s="55" t="s">
        <v>2766</v>
      </c>
    </row>
    <row r="642" spans="1:7" ht="12.5" x14ac:dyDescent="0.25">
      <c r="A642" s="54">
        <v>323</v>
      </c>
      <c r="B642" s="35" t="s">
        <v>2767</v>
      </c>
      <c r="C642" s="35" t="s">
        <v>16</v>
      </c>
      <c r="D642" s="35" t="s">
        <v>52</v>
      </c>
      <c r="E642" s="35" t="s">
        <v>64</v>
      </c>
      <c r="F642" s="35" t="s">
        <v>2713</v>
      </c>
      <c r="G642" s="55" t="s">
        <v>2768</v>
      </c>
    </row>
    <row r="643" spans="1:7" ht="12.5" x14ac:dyDescent="0.25">
      <c r="A643" s="54">
        <v>324</v>
      </c>
      <c r="B643" s="35" t="s">
        <v>2769</v>
      </c>
      <c r="C643" s="35" t="s">
        <v>16</v>
      </c>
      <c r="D643" s="35" t="s">
        <v>52</v>
      </c>
      <c r="E643" s="35" t="s">
        <v>36</v>
      </c>
      <c r="F643" s="35" t="s">
        <v>2676</v>
      </c>
      <c r="G643" s="55" t="s">
        <v>2770</v>
      </c>
    </row>
    <row r="644" spans="1:7" ht="12.5" x14ac:dyDescent="0.25">
      <c r="A644" s="54">
        <v>325</v>
      </c>
      <c r="B644" s="35" t="s">
        <v>2767</v>
      </c>
      <c r="C644" s="35" t="s">
        <v>50</v>
      </c>
      <c r="D644" s="35" t="s">
        <v>52</v>
      </c>
      <c r="E644" s="35" t="s">
        <v>861</v>
      </c>
      <c r="F644" s="35" t="s">
        <v>2703</v>
      </c>
      <c r="G644" s="55" t="s">
        <v>2771</v>
      </c>
    </row>
    <row r="645" spans="1:7" ht="12.5" x14ac:dyDescent="0.25">
      <c r="A645" s="54">
        <v>326</v>
      </c>
      <c r="B645" s="35" t="s">
        <v>2772</v>
      </c>
      <c r="C645" s="35" t="s">
        <v>16</v>
      </c>
      <c r="D645" s="35" t="s">
        <v>13</v>
      </c>
      <c r="E645" s="35" t="s">
        <v>14</v>
      </c>
      <c r="F645" s="35" t="s">
        <v>2773</v>
      </c>
      <c r="G645" s="55" t="s">
        <v>2774</v>
      </c>
    </row>
    <row r="646" spans="1:7" ht="12.5" x14ac:dyDescent="0.25">
      <c r="A646" s="54">
        <v>327</v>
      </c>
      <c r="B646" s="35" t="s">
        <v>2775</v>
      </c>
      <c r="C646" s="35" t="s">
        <v>16</v>
      </c>
      <c r="D646" s="35" t="s">
        <v>13</v>
      </c>
      <c r="E646" s="35" t="s">
        <v>25</v>
      </c>
      <c r="F646" s="35" t="s">
        <v>2776</v>
      </c>
      <c r="G646" s="55" t="s">
        <v>2777</v>
      </c>
    </row>
    <row r="647" spans="1:7" ht="12.5" x14ac:dyDescent="0.25">
      <c r="A647" s="54">
        <v>328</v>
      </c>
      <c r="B647" s="35" t="s">
        <v>2775</v>
      </c>
      <c r="C647" s="35" t="s">
        <v>50</v>
      </c>
      <c r="D647" s="35" t="s">
        <v>13</v>
      </c>
      <c r="E647" s="35" t="s">
        <v>49</v>
      </c>
      <c r="F647" s="35" t="s">
        <v>2778</v>
      </c>
      <c r="G647" s="55" t="s">
        <v>2779</v>
      </c>
    </row>
    <row r="648" spans="1:7" ht="12.5" x14ac:dyDescent="0.25">
      <c r="A648" s="54">
        <v>329</v>
      </c>
      <c r="B648" s="35" t="s">
        <v>2780</v>
      </c>
      <c r="C648" s="35" t="s">
        <v>16</v>
      </c>
      <c r="D648" s="35" t="s">
        <v>13</v>
      </c>
      <c r="E648" s="35" t="s">
        <v>38</v>
      </c>
      <c r="F648" s="35" t="s">
        <v>2781</v>
      </c>
      <c r="G648" s="55" t="s">
        <v>2782</v>
      </c>
    </row>
    <row r="649" spans="1:7" ht="12.5" x14ac:dyDescent="0.25">
      <c r="A649" s="54">
        <v>330</v>
      </c>
      <c r="B649" s="35" t="s">
        <v>2783</v>
      </c>
      <c r="C649" s="35" t="s">
        <v>16</v>
      </c>
      <c r="D649" s="35" t="s">
        <v>31</v>
      </c>
      <c r="E649" s="35" t="s">
        <v>14</v>
      </c>
      <c r="F649" s="35" t="s">
        <v>2784</v>
      </c>
      <c r="G649" s="55" t="s">
        <v>2785</v>
      </c>
    </row>
    <row r="650" spans="1:7" ht="12.5" x14ac:dyDescent="0.25">
      <c r="A650" s="54">
        <v>331</v>
      </c>
      <c r="B650" s="35" t="s">
        <v>2786</v>
      </c>
      <c r="C650" s="35" t="s">
        <v>16</v>
      </c>
      <c r="D650" s="35" t="s">
        <v>31</v>
      </c>
      <c r="E650" s="35" t="s">
        <v>14</v>
      </c>
      <c r="F650" s="35" t="s">
        <v>2684</v>
      </c>
      <c r="G650" s="55" t="s">
        <v>2787</v>
      </c>
    </row>
    <row r="651" spans="1:7" ht="12.5" x14ac:dyDescent="0.25">
      <c r="A651" s="54">
        <v>332</v>
      </c>
      <c r="B651" s="35" t="s">
        <v>2788</v>
      </c>
      <c r="C651" s="35" t="s">
        <v>16</v>
      </c>
      <c r="D651" s="35" t="s">
        <v>31</v>
      </c>
      <c r="E651" s="35" t="s">
        <v>25</v>
      </c>
      <c r="F651" s="35" t="s">
        <v>2759</v>
      </c>
      <c r="G651" s="55" t="s">
        <v>2789</v>
      </c>
    </row>
    <row r="652" spans="1:7" ht="12.5" x14ac:dyDescent="0.25">
      <c r="A652" s="54">
        <v>333</v>
      </c>
      <c r="B652" s="35" t="s">
        <v>2790</v>
      </c>
      <c r="C652" s="35" t="s">
        <v>16</v>
      </c>
      <c r="D652" s="35" t="s">
        <v>31</v>
      </c>
      <c r="E652" s="35" t="s">
        <v>64</v>
      </c>
      <c r="F652" s="35" t="s">
        <v>2791</v>
      </c>
      <c r="G652" s="55" t="s">
        <v>2792</v>
      </c>
    </row>
    <row r="653" spans="1:7" ht="12.5" x14ac:dyDescent="0.25">
      <c r="A653" s="54">
        <v>334</v>
      </c>
      <c r="B653" s="35" t="s">
        <v>2793</v>
      </c>
      <c r="C653" s="35" t="s">
        <v>16</v>
      </c>
      <c r="D653" s="35" t="s">
        <v>31</v>
      </c>
      <c r="E653" s="35" t="s">
        <v>210</v>
      </c>
      <c r="F653" s="35" t="s">
        <v>2794</v>
      </c>
      <c r="G653" s="55" t="s">
        <v>2795</v>
      </c>
    </row>
    <row r="654" spans="1:7" ht="12.5" x14ac:dyDescent="0.25">
      <c r="A654" s="54">
        <v>335</v>
      </c>
      <c r="B654" s="35" t="s">
        <v>2783</v>
      </c>
      <c r="C654" s="35" t="s">
        <v>50</v>
      </c>
      <c r="D654" s="35" t="s">
        <v>41</v>
      </c>
      <c r="E654" s="35" t="s">
        <v>49</v>
      </c>
      <c r="F654" s="35" t="s">
        <v>2796</v>
      </c>
      <c r="G654" s="55" t="s">
        <v>2797</v>
      </c>
    </row>
    <row r="655" spans="1:7" ht="12.5" x14ac:dyDescent="0.25">
      <c r="A655" s="54">
        <v>336</v>
      </c>
      <c r="B655" s="35" t="s">
        <v>2798</v>
      </c>
      <c r="C655" s="35" t="s">
        <v>16</v>
      </c>
      <c r="D655" s="35" t="s">
        <v>41</v>
      </c>
      <c r="E655" s="35" t="s">
        <v>210</v>
      </c>
      <c r="F655" s="35" t="s">
        <v>2762</v>
      </c>
      <c r="G655" s="55" t="s">
        <v>2799</v>
      </c>
    </row>
    <row r="656" spans="1:7" ht="12.5" x14ac:dyDescent="0.25">
      <c r="A656" s="54">
        <v>337</v>
      </c>
      <c r="B656" s="35" t="s">
        <v>2800</v>
      </c>
      <c r="C656" s="35" t="s">
        <v>16</v>
      </c>
      <c r="D656" s="35" t="s">
        <v>47</v>
      </c>
      <c r="E656" s="35" t="s">
        <v>25</v>
      </c>
      <c r="F656" s="35" t="s">
        <v>2801</v>
      </c>
      <c r="G656" s="55" t="s">
        <v>2802</v>
      </c>
    </row>
    <row r="657" spans="1:7" ht="12.5" x14ac:dyDescent="0.25">
      <c r="A657" s="54">
        <v>338</v>
      </c>
      <c r="B657" s="35" t="s">
        <v>2803</v>
      </c>
      <c r="C657" s="35" t="s">
        <v>16</v>
      </c>
      <c r="D657" s="35" t="s">
        <v>47</v>
      </c>
      <c r="E657" s="35" t="s">
        <v>38</v>
      </c>
      <c r="F657" s="35" t="s">
        <v>2804</v>
      </c>
      <c r="G657" s="55" t="s">
        <v>2805</v>
      </c>
    </row>
    <row r="658" spans="1:7" ht="12.5" x14ac:dyDescent="0.25">
      <c r="A658" s="54">
        <v>339</v>
      </c>
      <c r="B658" s="35" t="s">
        <v>2793</v>
      </c>
      <c r="C658" s="35" t="s">
        <v>50</v>
      </c>
      <c r="D658" s="35" t="s">
        <v>47</v>
      </c>
      <c r="E658" s="35" t="s">
        <v>502</v>
      </c>
      <c r="F658" s="35" t="s">
        <v>2748</v>
      </c>
      <c r="G658" s="55" t="s">
        <v>2806</v>
      </c>
    </row>
    <row r="659" spans="1:7" ht="12.5" x14ac:dyDescent="0.25">
      <c r="A659" s="54">
        <v>340</v>
      </c>
      <c r="B659" s="35" t="s">
        <v>2807</v>
      </c>
      <c r="C659" s="35" t="s">
        <v>16</v>
      </c>
      <c r="D659" s="35" t="s">
        <v>13</v>
      </c>
      <c r="E659" s="35" t="s">
        <v>19</v>
      </c>
      <c r="F659" s="35" t="s">
        <v>2808</v>
      </c>
      <c r="G659" s="55" t="s">
        <v>2809</v>
      </c>
    </row>
    <row r="660" spans="1:7" ht="12.5" x14ac:dyDescent="0.25">
      <c r="A660" s="54">
        <v>341</v>
      </c>
      <c r="B660" s="35" t="s">
        <v>2810</v>
      </c>
      <c r="C660" s="35" t="s">
        <v>16</v>
      </c>
      <c r="D660" s="35" t="s">
        <v>13</v>
      </c>
      <c r="E660" s="35" t="s">
        <v>19</v>
      </c>
      <c r="F660" s="35" t="s">
        <v>2811</v>
      </c>
      <c r="G660" s="55" t="s">
        <v>2812</v>
      </c>
    </row>
    <row r="661" spans="1:7" ht="12.5" x14ac:dyDescent="0.25">
      <c r="A661" s="54">
        <v>342</v>
      </c>
      <c r="B661" s="35" t="s">
        <v>2813</v>
      </c>
      <c r="C661" s="35" t="s">
        <v>16</v>
      </c>
      <c r="D661" s="35" t="s">
        <v>13</v>
      </c>
      <c r="E661" s="35" t="s">
        <v>19</v>
      </c>
      <c r="F661" s="35" t="s">
        <v>2002</v>
      </c>
      <c r="G661" s="55" t="s">
        <v>2814</v>
      </c>
    </row>
    <row r="662" spans="1:7" ht="12.5" x14ac:dyDescent="0.25">
      <c r="A662" s="54">
        <v>343</v>
      </c>
      <c r="B662" s="35" t="s">
        <v>2807</v>
      </c>
      <c r="C662" s="35" t="s">
        <v>50</v>
      </c>
      <c r="D662" s="35" t="s">
        <v>13</v>
      </c>
      <c r="E662" s="35" t="s">
        <v>281</v>
      </c>
      <c r="F662" s="35" t="s">
        <v>2815</v>
      </c>
      <c r="G662" s="55" t="s">
        <v>2816</v>
      </c>
    </row>
    <row r="663" spans="1:7" ht="12.5" x14ac:dyDescent="0.25">
      <c r="A663" s="54">
        <v>344</v>
      </c>
      <c r="B663" s="35" t="s">
        <v>2810</v>
      </c>
      <c r="C663" s="35" t="s">
        <v>50</v>
      </c>
      <c r="D663" s="35" t="s">
        <v>13</v>
      </c>
      <c r="E663" s="35" t="s">
        <v>281</v>
      </c>
      <c r="F663" s="35" t="s">
        <v>2817</v>
      </c>
      <c r="G663" s="55" t="s">
        <v>2818</v>
      </c>
    </row>
    <row r="664" spans="1:7" ht="12.5" x14ac:dyDescent="0.25">
      <c r="A664" s="54">
        <v>345</v>
      </c>
      <c r="B664" s="35" t="s">
        <v>2813</v>
      </c>
      <c r="C664" s="35" t="s">
        <v>50</v>
      </c>
      <c r="D664" s="35" t="s">
        <v>13</v>
      </c>
      <c r="E664" s="35" t="s">
        <v>281</v>
      </c>
      <c r="F664" s="35" t="s">
        <v>2002</v>
      </c>
      <c r="G664" s="55" t="s">
        <v>2819</v>
      </c>
    </row>
    <row r="665" spans="1:7" ht="12.5" x14ac:dyDescent="0.25">
      <c r="A665" s="54">
        <v>346</v>
      </c>
      <c r="B665" s="35" t="s">
        <v>2820</v>
      </c>
      <c r="C665" s="35" t="s">
        <v>16</v>
      </c>
      <c r="D665" s="35" t="s">
        <v>13</v>
      </c>
      <c r="E665" s="35" t="s">
        <v>256</v>
      </c>
      <c r="F665" s="35" t="s">
        <v>2821</v>
      </c>
      <c r="G665" s="55" t="s">
        <v>2822</v>
      </c>
    </row>
    <row r="666" spans="1:7" ht="12.5" x14ac:dyDescent="0.25">
      <c r="A666" s="54">
        <v>347</v>
      </c>
      <c r="B666" s="35" t="s">
        <v>2820</v>
      </c>
      <c r="C666" s="35" t="s">
        <v>50</v>
      </c>
      <c r="D666" s="35" t="s">
        <v>13</v>
      </c>
      <c r="E666" s="35" t="s">
        <v>560</v>
      </c>
      <c r="F666" s="35" t="s">
        <v>2823</v>
      </c>
      <c r="G666" s="55" t="s">
        <v>2824</v>
      </c>
    </row>
    <row r="667" spans="1:7" ht="12.5" x14ac:dyDescent="0.25">
      <c r="A667" s="54">
        <v>348</v>
      </c>
      <c r="B667" s="35" t="s">
        <v>2825</v>
      </c>
      <c r="C667" s="35" t="s">
        <v>16</v>
      </c>
      <c r="D667" s="35" t="s">
        <v>31</v>
      </c>
      <c r="E667" s="35" t="s">
        <v>19</v>
      </c>
      <c r="F667" s="35" t="s">
        <v>2815</v>
      </c>
      <c r="G667" s="55" t="s">
        <v>2826</v>
      </c>
    </row>
    <row r="668" spans="1:7" ht="12.5" x14ac:dyDescent="0.25">
      <c r="A668" s="54">
        <v>349</v>
      </c>
      <c r="B668" s="35" t="s">
        <v>2827</v>
      </c>
      <c r="C668" s="35" t="s">
        <v>16</v>
      </c>
      <c r="D668" s="35" t="s">
        <v>31</v>
      </c>
      <c r="E668" s="35" t="s">
        <v>19</v>
      </c>
      <c r="F668" s="35" t="s">
        <v>2034</v>
      </c>
      <c r="G668" s="55" t="s">
        <v>2828</v>
      </c>
    </row>
    <row r="669" spans="1:7" ht="12.5" x14ac:dyDescent="0.25">
      <c r="A669" s="54">
        <v>350</v>
      </c>
      <c r="B669" s="35" t="s">
        <v>2827</v>
      </c>
      <c r="C669" s="35" t="s">
        <v>50</v>
      </c>
      <c r="D669" s="35" t="s">
        <v>31</v>
      </c>
      <c r="E669" s="35" t="s">
        <v>949</v>
      </c>
      <c r="F669" s="35" t="s">
        <v>2034</v>
      </c>
      <c r="G669" s="55" t="s">
        <v>2829</v>
      </c>
    </row>
    <row r="670" spans="1:7" ht="12.5" x14ac:dyDescent="0.25">
      <c r="A670" s="54">
        <v>351</v>
      </c>
      <c r="B670" s="35" t="s">
        <v>2825</v>
      </c>
      <c r="C670" s="35" t="s">
        <v>50</v>
      </c>
      <c r="D670" s="35" t="s">
        <v>31</v>
      </c>
      <c r="E670" s="35" t="s">
        <v>281</v>
      </c>
      <c r="F670" s="35" t="s">
        <v>2815</v>
      </c>
      <c r="G670" s="55" t="s">
        <v>2830</v>
      </c>
    </row>
    <row r="671" spans="1:7" ht="12.5" x14ac:dyDescent="0.25">
      <c r="A671" s="54">
        <v>352</v>
      </c>
      <c r="B671" s="35" t="s">
        <v>2820</v>
      </c>
      <c r="C671" s="35" t="s">
        <v>155</v>
      </c>
      <c r="D671" s="35" t="s">
        <v>31</v>
      </c>
      <c r="E671" s="35" t="s">
        <v>256</v>
      </c>
      <c r="F671" s="35" t="s">
        <v>2831</v>
      </c>
      <c r="G671" s="55" t="s">
        <v>2832</v>
      </c>
    </row>
    <row r="672" spans="1:7" ht="12.5" x14ac:dyDescent="0.25">
      <c r="A672" s="54">
        <v>353</v>
      </c>
      <c r="B672" s="35" t="s">
        <v>2820</v>
      </c>
      <c r="C672" s="35" t="s">
        <v>144</v>
      </c>
      <c r="D672" s="35" t="s">
        <v>31</v>
      </c>
      <c r="E672" s="35" t="s">
        <v>560</v>
      </c>
      <c r="F672" s="35" t="s">
        <v>2833</v>
      </c>
      <c r="G672" s="55" t="s">
        <v>2834</v>
      </c>
    </row>
    <row r="673" spans="1:7" ht="12.5" x14ac:dyDescent="0.25">
      <c r="A673" s="54">
        <v>354</v>
      </c>
      <c r="B673" s="35" t="s">
        <v>2835</v>
      </c>
      <c r="C673" s="35" t="s">
        <v>16</v>
      </c>
      <c r="D673" s="35" t="s">
        <v>47</v>
      </c>
      <c r="E673" s="35" t="s">
        <v>19</v>
      </c>
      <c r="F673" s="35" t="s">
        <v>2836</v>
      </c>
      <c r="G673" s="55" t="s">
        <v>2837</v>
      </c>
    </row>
    <row r="674" spans="1:7" ht="12.5" x14ac:dyDescent="0.25">
      <c r="A674" s="54">
        <v>355</v>
      </c>
      <c r="B674" s="35" t="s">
        <v>2838</v>
      </c>
      <c r="C674" s="35" t="s">
        <v>16</v>
      </c>
      <c r="D674" s="35" t="s">
        <v>47</v>
      </c>
      <c r="E674" s="35" t="s">
        <v>19</v>
      </c>
      <c r="F674" s="35" t="s">
        <v>2831</v>
      </c>
      <c r="G674" s="55" t="s">
        <v>2839</v>
      </c>
    </row>
    <row r="675" spans="1:7" ht="12.5" x14ac:dyDescent="0.25">
      <c r="A675" s="54">
        <v>356</v>
      </c>
      <c r="B675" s="35" t="s">
        <v>2840</v>
      </c>
      <c r="C675" s="35" t="s">
        <v>16</v>
      </c>
      <c r="D675" s="35" t="s">
        <v>47</v>
      </c>
      <c r="E675" s="35" t="s">
        <v>19</v>
      </c>
      <c r="F675" s="35" t="s">
        <v>2823</v>
      </c>
      <c r="G675" s="55" t="s">
        <v>2841</v>
      </c>
    </row>
    <row r="676" spans="1:7" ht="12.5" x14ac:dyDescent="0.25">
      <c r="A676" s="54">
        <v>357</v>
      </c>
      <c r="B676" s="35" t="s">
        <v>2835</v>
      </c>
      <c r="C676" s="35" t="s">
        <v>50</v>
      </c>
      <c r="D676" s="35" t="s">
        <v>47</v>
      </c>
      <c r="E676" s="35" t="s">
        <v>281</v>
      </c>
      <c r="F676" s="35" t="s">
        <v>2823</v>
      </c>
      <c r="G676" s="55" t="s">
        <v>2842</v>
      </c>
    </row>
    <row r="677" spans="1:7" ht="12.5" x14ac:dyDescent="0.25">
      <c r="A677" s="54">
        <v>358</v>
      </c>
      <c r="B677" s="35" t="s">
        <v>2838</v>
      </c>
      <c r="C677" s="35" t="s">
        <v>50</v>
      </c>
      <c r="D677" s="35" t="s">
        <v>47</v>
      </c>
      <c r="E677" s="35" t="s">
        <v>281</v>
      </c>
      <c r="F677" s="35" t="s">
        <v>2843</v>
      </c>
      <c r="G677" s="55" t="s">
        <v>2844</v>
      </c>
    </row>
    <row r="678" spans="1:7" ht="12.5" x14ac:dyDescent="0.25">
      <c r="A678" s="54">
        <v>359</v>
      </c>
      <c r="B678" s="35" t="s">
        <v>2845</v>
      </c>
      <c r="C678" s="35" t="s">
        <v>16</v>
      </c>
      <c r="D678" s="35" t="s">
        <v>47</v>
      </c>
      <c r="E678" s="35" t="s">
        <v>256</v>
      </c>
      <c r="F678" s="35" t="s">
        <v>2815</v>
      </c>
      <c r="G678" s="55" t="s">
        <v>2846</v>
      </c>
    </row>
    <row r="679" spans="1:7" ht="12.5" x14ac:dyDescent="0.25">
      <c r="A679" s="54">
        <v>360</v>
      </c>
      <c r="B679" s="35" t="s">
        <v>2840</v>
      </c>
      <c r="C679" s="35" t="s">
        <v>50</v>
      </c>
      <c r="D679" s="35" t="s">
        <v>47</v>
      </c>
      <c r="E679" s="35" t="s">
        <v>256</v>
      </c>
      <c r="F679" s="35" t="s">
        <v>2823</v>
      </c>
      <c r="G679" s="55" t="s">
        <v>2847</v>
      </c>
    </row>
    <row r="680" spans="1:7" ht="12.5" x14ac:dyDescent="0.25">
      <c r="A680" s="54">
        <v>361</v>
      </c>
      <c r="B680" s="35" t="s">
        <v>2845</v>
      </c>
      <c r="C680" s="35" t="s">
        <v>50</v>
      </c>
      <c r="D680" s="35" t="s">
        <v>47</v>
      </c>
      <c r="E680" s="35" t="s">
        <v>560</v>
      </c>
      <c r="F680" s="35" t="s">
        <v>2848</v>
      </c>
      <c r="G680" s="55" t="s">
        <v>2849</v>
      </c>
    </row>
    <row r="681" spans="1:7" ht="12.5" x14ac:dyDescent="0.25">
      <c r="A681" s="54">
        <v>362</v>
      </c>
      <c r="B681" s="35" t="s">
        <v>2850</v>
      </c>
      <c r="C681" s="35" t="s">
        <v>16</v>
      </c>
      <c r="D681" s="35" t="s">
        <v>52</v>
      </c>
      <c r="E681" s="35" t="s">
        <v>19</v>
      </c>
      <c r="F681" s="35" t="s">
        <v>2851</v>
      </c>
      <c r="G681" s="55" t="s">
        <v>2852</v>
      </c>
    </row>
    <row r="682" spans="1:7" ht="12.5" x14ac:dyDescent="0.25">
      <c r="A682" s="54">
        <v>363</v>
      </c>
      <c r="B682" s="35" t="s">
        <v>2853</v>
      </c>
      <c r="C682" s="35" t="s">
        <v>16</v>
      </c>
      <c r="D682" s="35" t="s">
        <v>52</v>
      </c>
      <c r="E682" s="35" t="s">
        <v>23</v>
      </c>
      <c r="F682" s="35" t="s">
        <v>2808</v>
      </c>
      <c r="G682" s="55" t="s">
        <v>2854</v>
      </c>
    </row>
    <row r="683" spans="1:7" ht="12.5" x14ac:dyDescent="0.25">
      <c r="A683" s="54">
        <v>364</v>
      </c>
      <c r="B683" s="35" t="s">
        <v>2853</v>
      </c>
      <c r="C683" s="35" t="s">
        <v>50</v>
      </c>
      <c r="D683" s="35" t="s">
        <v>52</v>
      </c>
      <c r="E683" s="35" t="s">
        <v>256</v>
      </c>
      <c r="F683" s="35" t="s">
        <v>2833</v>
      </c>
      <c r="G683" s="55" t="s">
        <v>2855</v>
      </c>
    </row>
    <row r="684" spans="1:7" ht="12.5" x14ac:dyDescent="0.25">
      <c r="A684" s="54">
        <v>365</v>
      </c>
      <c r="B684" s="35" t="s">
        <v>2850</v>
      </c>
      <c r="C684" s="35" t="s">
        <v>50</v>
      </c>
      <c r="D684" s="35" t="s">
        <v>52</v>
      </c>
      <c r="E684" s="35" t="s">
        <v>290</v>
      </c>
      <c r="F684" s="35" t="s">
        <v>2856</v>
      </c>
      <c r="G684" s="55" t="s">
        <v>2857</v>
      </c>
    </row>
    <row r="685" spans="1:7" ht="12.5" x14ac:dyDescent="0.25">
      <c r="A685" s="54">
        <v>366</v>
      </c>
      <c r="B685" s="35" t="s">
        <v>2858</v>
      </c>
      <c r="C685" s="35" t="s">
        <v>16</v>
      </c>
      <c r="D685" s="35" t="s">
        <v>195</v>
      </c>
      <c r="E685" s="35" t="s">
        <v>19</v>
      </c>
      <c r="F685" s="35" t="s">
        <v>2851</v>
      </c>
      <c r="G685" s="55" t="s">
        <v>2859</v>
      </c>
    </row>
    <row r="686" spans="1:7" ht="12.5" x14ac:dyDescent="0.25">
      <c r="A686" s="54">
        <v>367</v>
      </c>
      <c r="B686" s="35" t="s">
        <v>2858</v>
      </c>
      <c r="C686" s="35" t="s">
        <v>50</v>
      </c>
      <c r="D686" s="35" t="s">
        <v>195</v>
      </c>
      <c r="E686" s="35" t="s">
        <v>281</v>
      </c>
      <c r="F686" s="35" t="s">
        <v>2860</v>
      </c>
      <c r="G686" s="55" t="s">
        <v>2861</v>
      </c>
    </row>
    <row r="687" spans="1:7" ht="12.5" x14ac:dyDescent="0.25">
      <c r="A687" s="54">
        <v>368</v>
      </c>
      <c r="B687" s="35" t="s">
        <v>2862</v>
      </c>
      <c r="C687" s="35" t="s">
        <v>16</v>
      </c>
      <c r="D687" s="35" t="s">
        <v>13</v>
      </c>
      <c r="E687" s="35" t="s">
        <v>281</v>
      </c>
      <c r="F687" s="35" t="s">
        <v>2863</v>
      </c>
      <c r="G687" s="55" t="s">
        <v>2864</v>
      </c>
    </row>
    <row r="688" spans="1:7" ht="12.5" x14ac:dyDescent="0.25">
      <c r="A688" s="54">
        <v>369</v>
      </c>
      <c r="B688" s="35" t="s">
        <v>2865</v>
      </c>
      <c r="C688" s="35" t="s">
        <v>16</v>
      </c>
      <c r="D688" s="35" t="s">
        <v>13</v>
      </c>
      <c r="E688" s="35" t="s">
        <v>281</v>
      </c>
      <c r="F688" s="35" t="s">
        <v>2866</v>
      </c>
      <c r="G688" s="55" t="s">
        <v>2867</v>
      </c>
    </row>
    <row r="689" spans="1:7" ht="12.5" x14ac:dyDescent="0.25">
      <c r="A689" s="54">
        <v>370</v>
      </c>
      <c r="B689" s="35" t="s">
        <v>2868</v>
      </c>
      <c r="C689" s="35" t="s">
        <v>16</v>
      </c>
      <c r="D689" s="35" t="s">
        <v>13</v>
      </c>
      <c r="E689" s="35" t="s">
        <v>586</v>
      </c>
      <c r="F689" s="35" t="s">
        <v>2860</v>
      </c>
      <c r="G689" s="55" t="s">
        <v>2869</v>
      </c>
    </row>
    <row r="690" spans="1:7" ht="12.5" x14ac:dyDescent="0.25">
      <c r="A690" s="54">
        <v>371</v>
      </c>
      <c r="B690" s="35" t="s">
        <v>2870</v>
      </c>
      <c r="C690" s="35" t="s">
        <v>16</v>
      </c>
      <c r="D690" s="35" t="s">
        <v>31</v>
      </c>
      <c r="E690" s="35" t="s">
        <v>281</v>
      </c>
      <c r="F690" s="35" t="s">
        <v>2863</v>
      </c>
      <c r="G690" s="55" t="s">
        <v>2871</v>
      </c>
    </row>
    <row r="691" spans="1:7" ht="12.5" x14ac:dyDescent="0.25">
      <c r="A691" s="54">
        <v>372</v>
      </c>
      <c r="B691" s="35" t="s">
        <v>2872</v>
      </c>
      <c r="C691" s="35" t="s">
        <v>16</v>
      </c>
      <c r="D691" s="35" t="s">
        <v>31</v>
      </c>
      <c r="E691" s="35" t="s">
        <v>978</v>
      </c>
      <c r="F691" s="35" t="s">
        <v>2866</v>
      </c>
      <c r="G691" s="55" t="s">
        <v>2873</v>
      </c>
    </row>
    <row r="692" spans="1:7" ht="12.5" x14ac:dyDescent="0.25">
      <c r="A692" s="54">
        <v>373</v>
      </c>
      <c r="B692" s="35" t="s">
        <v>2872</v>
      </c>
      <c r="C692" s="35" t="s">
        <v>50</v>
      </c>
      <c r="D692" s="35" t="s">
        <v>31</v>
      </c>
      <c r="E692" s="35" t="s">
        <v>36</v>
      </c>
      <c r="F692" s="35" t="s">
        <v>2866</v>
      </c>
      <c r="G692" s="55" t="s">
        <v>2874</v>
      </c>
    </row>
    <row r="693" spans="1:7" ht="12.5" x14ac:dyDescent="0.25">
      <c r="A693" s="54">
        <v>374</v>
      </c>
      <c r="B693" s="35" t="s">
        <v>2875</v>
      </c>
      <c r="C693" s="35" t="s">
        <v>16</v>
      </c>
      <c r="D693" s="35" t="s">
        <v>41</v>
      </c>
      <c r="E693" s="35" t="s">
        <v>256</v>
      </c>
      <c r="F693" s="35" t="s">
        <v>2863</v>
      </c>
      <c r="G693" s="55" t="s">
        <v>2876</v>
      </c>
    </row>
    <row r="694" spans="1:7" ht="12.5" x14ac:dyDescent="0.25">
      <c r="A694" s="54">
        <v>375</v>
      </c>
      <c r="B694" s="35" t="s">
        <v>2875</v>
      </c>
      <c r="C694" s="35" t="s">
        <v>50</v>
      </c>
      <c r="D694" s="35" t="s">
        <v>41</v>
      </c>
      <c r="E694" s="35" t="s">
        <v>982</v>
      </c>
      <c r="F694" s="35" t="s">
        <v>2877</v>
      </c>
      <c r="G694" s="55" t="s">
        <v>2878</v>
      </c>
    </row>
    <row r="695" spans="1:7" ht="12.5" x14ac:dyDescent="0.25">
      <c r="A695" s="54">
        <v>376</v>
      </c>
      <c r="B695" s="35" t="s">
        <v>2879</v>
      </c>
      <c r="C695" s="35" t="s">
        <v>16</v>
      </c>
      <c r="D695" s="35" t="s">
        <v>47</v>
      </c>
      <c r="E695" s="35" t="s">
        <v>19</v>
      </c>
      <c r="F695" s="35" t="s">
        <v>2863</v>
      </c>
      <c r="G695" s="55" t="s">
        <v>2880</v>
      </c>
    </row>
    <row r="696" spans="1:7" ht="12.5" x14ac:dyDescent="0.25">
      <c r="A696" s="54">
        <v>377</v>
      </c>
      <c r="B696" s="35" t="s">
        <v>2879</v>
      </c>
      <c r="C696" s="35" t="s">
        <v>50</v>
      </c>
      <c r="D696" s="35" t="s">
        <v>47</v>
      </c>
      <c r="E696" s="35" t="s">
        <v>254</v>
      </c>
      <c r="F696" s="35" t="s">
        <v>2866</v>
      </c>
      <c r="G696" s="55" t="s">
        <v>2881</v>
      </c>
    </row>
    <row r="697" spans="1:7" ht="12.5" x14ac:dyDescent="0.25">
      <c r="A697" s="54">
        <v>378</v>
      </c>
      <c r="B697" s="35" t="s">
        <v>2882</v>
      </c>
      <c r="C697" s="35" t="s">
        <v>16</v>
      </c>
      <c r="D697" s="35" t="s">
        <v>47</v>
      </c>
      <c r="E697" s="35" t="s">
        <v>290</v>
      </c>
      <c r="F697" s="35" t="s">
        <v>2863</v>
      </c>
      <c r="G697" s="55" t="s">
        <v>2883</v>
      </c>
    </row>
    <row r="698" spans="1:7" ht="12.5" x14ac:dyDescent="0.25">
      <c r="A698" s="54">
        <v>379</v>
      </c>
      <c r="B698" s="35" t="s">
        <v>2884</v>
      </c>
      <c r="C698" s="35" t="s">
        <v>16</v>
      </c>
      <c r="D698" s="35" t="s">
        <v>52</v>
      </c>
      <c r="E698" s="35" t="s">
        <v>290</v>
      </c>
      <c r="F698" s="35" t="s">
        <v>2863</v>
      </c>
      <c r="G698" s="55" t="s">
        <v>2885</v>
      </c>
    </row>
    <row r="699" spans="1:7" ht="12.5" x14ac:dyDescent="0.25">
      <c r="A699" s="54">
        <v>380</v>
      </c>
      <c r="B699" s="35" t="s">
        <v>2884</v>
      </c>
      <c r="C699" s="35" t="s">
        <v>50</v>
      </c>
      <c r="D699" s="35" t="s">
        <v>52</v>
      </c>
      <c r="E699" s="35" t="s">
        <v>820</v>
      </c>
      <c r="F699" s="35" t="s">
        <v>2863</v>
      </c>
      <c r="G699" s="55" t="s">
        <v>2886</v>
      </c>
    </row>
    <row r="700" spans="1:7" ht="12.5" x14ac:dyDescent="0.25">
      <c r="A700" s="54">
        <v>381</v>
      </c>
      <c r="B700" s="35" t="s">
        <v>2887</v>
      </c>
      <c r="C700" s="35" t="s">
        <v>50</v>
      </c>
      <c r="D700" s="35" t="s">
        <v>13</v>
      </c>
      <c r="E700" s="35" t="s">
        <v>988</v>
      </c>
      <c r="F700" s="35" t="s">
        <v>2877</v>
      </c>
      <c r="G700" s="55" t="s">
        <v>2888</v>
      </c>
    </row>
    <row r="701" spans="1:7" ht="12.5" x14ac:dyDescent="0.25">
      <c r="A701" s="54">
        <v>382</v>
      </c>
      <c r="B701" s="35" t="s">
        <v>2889</v>
      </c>
      <c r="C701" s="35" t="s">
        <v>16</v>
      </c>
      <c r="D701" s="35" t="s">
        <v>31</v>
      </c>
      <c r="E701" s="35" t="s">
        <v>14</v>
      </c>
      <c r="F701" s="35" t="s">
        <v>2890</v>
      </c>
      <c r="G701" s="55" t="s">
        <v>2891</v>
      </c>
    </row>
    <row r="702" spans="1:7" ht="12.5" x14ac:dyDescent="0.25">
      <c r="A702" s="54">
        <v>383</v>
      </c>
      <c r="B702" s="35" t="s">
        <v>2892</v>
      </c>
      <c r="C702" s="35" t="s">
        <v>16</v>
      </c>
      <c r="D702" s="35" t="s">
        <v>31</v>
      </c>
      <c r="E702" s="35" t="s">
        <v>25</v>
      </c>
      <c r="F702" s="35" t="s">
        <v>2893</v>
      </c>
      <c r="G702" s="55" t="s">
        <v>2894</v>
      </c>
    </row>
    <row r="703" spans="1:7" ht="12.5" x14ac:dyDescent="0.25">
      <c r="A703" s="54">
        <v>384</v>
      </c>
      <c r="B703" s="35" t="s">
        <v>2895</v>
      </c>
      <c r="C703" s="35" t="s">
        <v>50</v>
      </c>
      <c r="D703" s="35" t="s">
        <v>41</v>
      </c>
      <c r="E703" s="35" t="s">
        <v>426</v>
      </c>
      <c r="F703" s="35" t="s">
        <v>2896</v>
      </c>
      <c r="G703" s="55" t="s">
        <v>2897</v>
      </c>
    </row>
    <row r="704" spans="1:7" ht="12.5" x14ac:dyDescent="0.25">
      <c r="A704" s="54">
        <v>385</v>
      </c>
      <c r="B704" s="35" t="s">
        <v>2898</v>
      </c>
      <c r="C704" s="35" t="s">
        <v>50</v>
      </c>
      <c r="D704" s="35" t="s">
        <v>41</v>
      </c>
      <c r="E704" s="35" t="s">
        <v>49</v>
      </c>
      <c r="F704" s="35" t="s">
        <v>2899</v>
      </c>
      <c r="G704" s="55" t="s">
        <v>2900</v>
      </c>
    </row>
    <row r="705" spans="1:7" ht="12.5" x14ac:dyDescent="0.25">
      <c r="A705" s="54">
        <v>386</v>
      </c>
      <c r="B705" s="35" t="s">
        <v>2889</v>
      </c>
      <c r="C705" s="35" t="s">
        <v>50</v>
      </c>
      <c r="D705" s="35" t="s">
        <v>47</v>
      </c>
      <c r="E705" s="35" t="s">
        <v>423</v>
      </c>
      <c r="F705" s="35" t="s">
        <v>2901</v>
      </c>
      <c r="G705" s="55" t="s">
        <v>2902</v>
      </c>
    </row>
    <row r="706" spans="1:7" ht="12.5" x14ac:dyDescent="0.25">
      <c r="A706" s="54">
        <v>387</v>
      </c>
      <c r="B706" s="35" t="s">
        <v>2892</v>
      </c>
      <c r="C706" s="35" t="s">
        <v>50</v>
      </c>
      <c r="D706" s="35" t="s">
        <v>47</v>
      </c>
      <c r="E706" s="35" t="s">
        <v>49</v>
      </c>
      <c r="F706" s="35" t="s">
        <v>2901</v>
      </c>
      <c r="G706" s="55" t="s">
        <v>2903</v>
      </c>
    </row>
    <row r="707" spans="1:7" ht="12.5" x14ac:dyDescent="0.25">
      <c r="A707" s="54">
        <v>388</v>
      </c>
      <c r="B707" s="35" t="s">
        <v>2895</v>
      </c>
      <c r="C707" s="35" t="s">
        <v>16</v>
      </c>
      <c r="D707" s="35" t="s">
        <v>52</v>
      </c>
      <c r="E707" s="35" t="s">
        <v>14</v>
      </c>
      <c r="F707" s="35" t="s">
        <v>2537</v>
      </c>
      <c r="G707" s="55" t="s">
        <v>2904</v>
      </c>
    </row>
    <row r="708" spans="1:7" ht="12.5" x14ac:dyDescent="0.25">
      <c r="A708" s="54">
        <v>389</v>
      </c>
      <c r="B708" s="35" t="s">
        <v>2905</v>
      </c>
      <c r="C708" s="35" t="s">
        <v>50</v>
      </c>
      <c r="D708" s="35" t="s">
        <v>13</v>
      </c>
      <c r="E708" s="35" t="s">
        <v>1005</v>
      </c>
      <c r="F708" s="35" t="s">
        <v>2537</v>
      </c>
      <c r="G708" s="55" t="s">
        <v>2906</v>
      </c>
    </row>
    <row r="709" spans="1:7" ht="12.5" x14ac:dyDescent="0.25">
      <c r="A709" s="54">
        <v>390</v>
      </c>
      <c r="B709" s="35" t="s">
        <v>2905</v>
      </c>
      <c r="C709" s="35" t="s">
        <v>16</v>
      </c>
      <c r="D709" s="35" t="s">
        <v>13</v>
      </c>
      <c r="E709" s="35" t="s">
        <v>64</v>
      </c>
      <c r="F709" s="35" t="s">
        <v>2537</v>
      </c>
      <c r="G709" s="55" t="s">
        <v>2907</v>
      </c>
    </row>
    <row r="710" spans="1:7" ht="12.5" x14ac:dyDescent="0.25">
      <c r="A710" s="54">
        <v>391</v>
      </c>
      <c r="B710" s="35" t="s">
        <v>2908</v>
      </c>
      <c r="C710" s="35" t="s">
        <v>16</v>
      </c>
      <c r="D710" s="35" t="s">
        <v>13</v>
      </c>
      <c r="E710" s="35" t="s">
        <v>101</v>
      </c>
      <c r="F710" s="35" t="s">
        <v>2537</v>
      </c>
      <c r="G710" s="55" t="s">
        <v>2909</v>
      </c>
    </row>
    <row r="711" spans="1:7" ht="12.5" x14ac:dyDescent="0.25">
      <c r="A711" s="54">
        <v>392</v>
      </c>
      <c r="B711" s="35" t="s">
        <v>2908</v>
      </c>
      <c r="C711" s="35" t="s">
        <v>50</v>
      </c>
      <c r="D711" s="35" t="s">
        <v>31</v>
      </c>
      <c r="E711" s="35" t="s">
        <v>42</v>
      </c>
      <c r="F711" s="35" t="s">
        <v>2537</v>
      </c>
      <c r="G711" s="55" t="s">
        <v>2910</v>
      </c>
    </row>
    <row r="712" spans="1:7" ht="12.5" x14ac:dyDescent="0.25">
      <c r="A712" s="54">
        <v>393</v>
      </c>
      <c r="B712" s="35" t="s">
        <v>2911</v>
      </c>
      <c r="C712" s="35" t="s">
        <v>16</v>
      </c>
      <c r="D712" s="35" t="s">
        <v>31</v>
      </c>
      <c r="E712" s="35" t="s">
        <v>25</v>
      </c>
      <c r="F712" s="35" t="s">
        <v>1644</v>
      </c>
      <c r="G712" s="55" t="s">
        <v>2912</v>
      </c>
    </row>
    <row r="713" spans="1:7" ht="12.5" x14ac:dyDescent="0.25">
      <c r="A713" s="54">
        <v>394</v>
      </c>
      <c r="B713" s="35" t="s">
        <v>2913</v>
      </c>
      <c r="C713" s="35" t="s">
        <v>16</v>
      </c>
      <c r="D713" s="35" t="s">
        <v>31</v>
      </c>
      <c r="E713" s="35" t="s">
        <v>25</v>
      </c>
      <c r="F713" s="35" t="s">
        <v>2914</v>
      </c>
      <c r="G713" s="55" t="s">
        <v>2915</v>
      </c>
    </row>
    <row r="714" spans="1:7" ht="12.5" x14ac:dyDescent="0.25">
      <c r="A714" s="54">
        <v>395</v>
      </c>
      <c r="B714" s="35" t="s">
        <v>2916</v>
      </c>
      <c r="C714" s="35" t="s">
        <v>16</v>
      </c>
      <c r="D714" s="35" t="s">
        <v>31</v>
      </c>
      <c r="E714" s="35" t="s">
        <v>25</v>
      </c>
      <c r="F714" s="35" t="s">
        <v>2917</v>
      </c>
      <c r="G714" s="55" t="s">
        <v>2918</v>
      </c>
    </row>
    <row r="715" spans="1:7" ht="12.5" x14ac:dyDescent="0.25">
      <c r="A715" s="54">
        <v>396</v>
      </c>
      <c r="B715" s="35" t="s">
        <v>2919</v>
      </c>
      <c r="C715" s="35" t="s">
        <v>16</v>
      </c>
      <c r="D715" s="35" t="s">
        <v>31</v>
      </c>
      <c r="E715" s="35" t="s">
        <v>25</v>
      </c>
      <c r="F715" s="35" t="s">
        <v>2920</v>
      </c>
      <c r="G715" s="55" t="s">
        <v>2921</v>
      </c>
    </row>
    <row r="716" spans="1:7" ht="12.5" x14ac:dyDescent="0.25">
      <c r="A716" s="54">
        <v>397</v>
      </c>
      <c r="B716" s="35" t="s">
        <v>2922</v>
      </c>
      <c r="C716" s="35" t="s">
        <v>16</v>
      </c>
      <c r="D716" s="35" t="s">
        <v>31</v>
      </c>
      <c r="E716" s="35" t="s">
        <v>25</v>
      </c>
      <c r="F716" s="35" t="s">
        <v>2923</v>
      </c>
      <c r="G716" s="55" t="s">
        <v>2924</v>
      </c>
    </row>
    <row r="717" spans="1:7" ht="12.5" x14ac:dyDescent="0.25">
      <c r="A717" s="54">
        <v>398</v>
      </c>
      <c r="B717" s="35" t="s">
        <v>2911</v>
      </c>
      <c r="C717" s="35" t="s">
        <v>50</v>
      </c>
      <c r="D717" s="35" t="s">
        <v>31</v>
      </c>
      <c r="E717" s="35" t="s">
        <v>36</v>
      </c>
      <c r="F717" s="35" t="s">
        <v>2890</v>
      </c>
      <c r="G717" s="55" t="s">
        <v>2925</v>
      </c>
    </row>
    <row r="718" spans="1:7" ht="12.5" x14ac:dyDescent="0.25">
      <c r="A718" s="54">
        <v>399</v>
      </c>
      <c r="B718" s="35" t="s">
        <v>2913</v>
      </c>
      <c r="C718" s="35" t="s">
        <v>50</v>
      </c>
      <c r="D718" s="35" t="s">
        <v>31</v>
      </c>
      <c r="E718" s="35" t="s">
        <v>36</v>
      </c>
      <c r="F718" s="35" t="s">
        <v>2914</v>
      </c>
      <c r="G718" s="55" t="s">
        <v>2926</v>
      </c>
    </row>
    <row r="719" spans="1:7" ht="12.5" x14ac:dyDescent="0.25">
      <c r="A719" s="54">
        <v>400</v>
      </c>
      <c r="B719" s="35" t="s">
        <v>2916</v>
      </c>
      <c r="C719" s="35" t="s">
        <v>50</v>
      </c>
      <c r="D719" s="35" t="s">
        <v>31</v>
      </c>
      <c r="E719" s="35" t="s">
        <v>36</v>
      </c>
      <c r="F719" s="35" t="s">
        <v>2917</v>
      </c>
      <c r="G719" s="55" t="s">
        <v>2927</v>
      </c>
    </row>
    <row r="720" spans="1:7" ht="12.5" x14ac:dyDescent="0.25">
      <c r="A720" s="54">
        <v>401</v>
      </c>
      <c r="B720" s="35" t="s">
        <v>2919</v>
      </c>
      <c r="C720" s="35" t="s">
        <v>50</v>
      </c>
      <c r="D720" s="35" t="s">
        <v>31</v>
      </c>
      <c r="E720" s="35" t="s">
        <v>36</v>
      </c>
      <c r="F720" s="35" t="s">
        <v>2920</v>
      </c>
      <c r="G720" s="55" t="s">
        <v>2928</v>
      </c>
    </row>
    <row r="721" spans="1:7" ht="12.5" x14ac:dyDescent="0.25">
      <c r="A721" s="54">
        <v>402</v>
      </c>
      <c r="B721" s="35" t="s">
        <v>2922</v>
      </c>
      <c r="C721" s="35" t="s">
        <v>50</v>
      </c>
      <c r="D721" s="35" t="s">
        <v>31</v>
      </c>
      <c r="E721" s="35" t="s">
        <v>36</v>
      </c>
      <c r="F721" s="35" t="s">
        <v>2923</v>
      </c>
      <c r="G721" s="55" t="s">
        <v>2929</v>
      </c>
    </row>
    <row r="722" spans="1:7" ht="12.5" x14ac:dyDescent="0.25">
      <c r="A722" s="54">
        <v>403</v>
      </c>
      <c r="B722" s="35" t="s">
        <v>2930</v>
      </c>
      <c r="C722" s="35" t="s">
        <v>16</v>
      </c>
      <c r="D722" s="35" t="s">
        <v>41</v>
      </c>
      <c r="E722" s="35" t="s">
        <v>1025</v>
      </c>
      <c r="F722" s="35" t="s">
        <v>2890</v>
      </c>
      <c r="G722" s="55" t="s">
        <v>2931</v>
      </c>
    </row>
    <row r="723" spans="1:7" ht="12.5" x14ac:dyDescent="0.25">
      <c r="A723" s="54">
        <v>404</v>
      </c>
      <c r="B723" s="35" t="s">
        <v>2930</v>
      </c>
      <c r="C723" s="35" t="s">
        <v>50</v>
      </c>
      <c r="D723" s="35" t="s">
        <v>41</v>
      </c>
      <c r="E723" s="35" t="s">
        <v>36</v>
      </c>
      <c r="F723" s="35" t="s">
        <v>2890</v>
      </c>
      <c r="G723" s="55" t="s">
        <v>2932</v>
      </c>
    </row>
    <row r="724" spans="1:7" ht="12.5" x14ac:dyDescent="0.25">
      <c r="A724" s="54">
        <v>405</v>
      </c>
      <c r="B724" s="35" t="s">
        <v>2933</v>
      </c>
      <c r="C724" s="35" t="s">
        <v>144</v>
      </c>
      <c r="D724" s="35" t="s">
        <v>41</v>
      </c>
      <c r="E724" s="35" t="s">
        <v>1028</v>
      </c>
      <c r="F724" s="35" t="s">
        <v>2890</v>
      </c>
      <c r="G724" s="55" t="s">
        <v>2934</v>
      </c>
    </row>
    <row r="725" spans="1:7" ht="12.5" x14ac:dyDescent="0.25">
      <c r="A725" s="54">
        <v>406</v>
      </c>
      <c r="B725" s="35" t="s">
        <v>2935</v>
      </c>
      <c r="C725" s="35" t="s">
        <v>50</v>
      </c>
      <c r="D725" s="35" t="s">
        <v>47</v>
      </c>
      <c r="E725" s="35" t="s">
        <v>42</v>
      </c>
      <c r="F725" s="35" t="s">
        <v>2923</v>
      </c>
      <c r="G725" s="55" t="s">
        <v>2936</v>
      </c>
    </row>
    <row r="726" spans="1:7" ht="12.5" x14ac:dyDescent="0.25">
      <c r="A726" s="54">
        <v>407</v>
      </c>
      <c r="B726" s="35" t="s">
        <v>2935</v>
      </c>
      <c r="C726" s="35" t="s">
        <v>16</v>
      </c>
      <c r="D726" s="35" t="s">
        <v>47</v>
      </c>
      <c r="E726" s="35" t="s">
        <v>25</v>
      </c>
      <c r="F726" s="35" t="s">
        <v>2914</v>
      </c>
      <c r="G726" s="55" t="s">
        <v>2937</v>
      </c>
    </row>
    <row r="727" spans="1:7" ht="12.5" x14ac:dyDescent="0.25">
      <c r="A727" s="54">
        <v>408</v>
      </c>
      <c r="B727" s="35" t="s">
        <v>2938</v>
      </c>
      <c r="C727" s="35" t="s">
        <v>16</v>
      </c>
      <c r="D727" s="35" t="s">
        <v>47</v>
      </c>
      <c r="E727" s="35" t="s">
        <v>64</v>
      </c>
      <c r="F727" s="35" t="s">
        <v>2914</v>
      </c>
      <c r="G727" s="55" t="s">
        <v>2939</v>
      </c>
    </row>
    <row r="728" spans="1:7" ht="12.5" x14ac:dyDescent="0.25">
      <c r="A728" s="54">
        <v>409</v>
      </c>
      <c r="B728" s="35" t="s">
        <v>2940</v>
      </c>
      <c r="C728" s="35" t="s">
        <v>16</v>
      </c>
      <c r="D728" s="35" t="s">
        <v>52</v>
      </c>
      <c r="E728" s="35" t="s">
        <v>132</v>
      </c>
      <c r="F728" s="35" t="s">
        <v>2890</v>
      </c>
      <c r="G728" s="55" t="s">
        <v>2941</v>
      </c>
    </row>
    <row r="729" spans="1:7" ht="12.5" x14ac:dyDescent="0.25">
      <c r="A729" s="54">
        <v>410</v>
      </c>
      <c r="B729" s="35" t="s">
        <v>2940</v>
      </c>
      <c r="C729" s="35" t="s">
        <v>50</v>
      </c>
      <c r="D729" s="35" t="s">
        <v>52</v>
      </c>
      <c r="E729" s="35" t="s">
        <v>276</v>
      </c>
      <c r="F729" s="35" t="s">
        <v>2896</v>
      </c>
      <c r="G729" s="55" t="s">
        <v>2942</v>
      </c>
    </row>
    <row r="730" spans="1:7" ht="12.5" x14ac:dyDescent="0.25">
      <c r="A730" s="54">
        <v>411</v>
      </c>
      <c r="B730" s="35" t="s">
        <v>2943</v>
      </c>
      <c r="C730" s="35" t="s">
        <v>16</v>
      </c>
      <c r="D730" s="35" t="s">
        <v>52</v>
      </c>
      <c r="E730" s="35" t="s">
        <v>64</v>
      </c>
      <c r="F730" s="35" t="s">
        <v>2890</v>
      </c>
      <c r="G730" s="55" t="s">
        <v>2944</v>
      </c>
    </row>
    <row r="731" spans="1:7" ht="12.5" x14ac:dyDescent="0.25">
      <c r="A731" s="54">
        <v>412</v>
      </c>
      <c r="B731" s="35" t="s">
        <v>2945</v>
      </c>
      <c r="C731" s="35" t="s">
        <v>16</v>
      </c>
      <c r="D731" s="35" t="s">
        <v>52</v>
      </c>
      <c r="E731" s="35" t="s">
        <v>64</v>
      </c>
      <c r="F731" s="35" t="s">
        <v>2920</v>
      </c>
      <c r="G731" s="55" t="s">
        <v>2946</v>
      </c>
    </row>
    <row r="732" spans="1:7" ht="12.5" x14ac:dyDescent="0.25">
      <c r="A732" s="54">
        <v>413</v>
      </c>
      <c r="B732" s="35" t="s">
        <v>2943</v>
      </c>
      <c r="C732" s="35" t="s">
        <v>50</v>
      </c>
      <c r="D732" s="35" t="s">
        <v>52</v>
      </c>
      <c r="E732" s="35" t="s">
        <v>862</v>
      </c>
      <c r="F732" s="35" t="s">
        <v>2947</v>
      </c>
      <c r="G732" s="55" t="s">
        <v>2948</v>
      </c>
    </row>
    <row r="733" spans="1:7" ht="12.5" x14ac:dyDescent="0.25">
      <c r="A733" s="54">
        <v>414</v>
      </c>
      <c r="B733" s="35" t="s">
        <v>2945</v>
      </c>
      <c r="C733" s="35" t="s">
        <v>50</v>
      </c>
      <c r="D733" s="35" t="s">
        <v>52</v>
      </c>
      <c r="E733" s="35" t="s">
        <v>862</v>
      </c>
      <c r="F733" s="35" t="s">
        <v>2920</v>
      </c>
      <c r="G733" s="55" t="s">
        <v>2949</v>
      </c>
    </row>
    <row r="734" spans="1:7" ht="12.5" x14ac:dyDescent="0.25">
      <c r="A734" s="54">
        <v>415</v>
      </c>
      <c r="B734" s="35" t="s">
        <v>2950</v>
      </c>
      <c r="C734" s="35" t="s">
        <v>16</v>
      </c>
      <c r="D734" s="35" t="s">
        <v>13</v>
      </c>
      <c r="E734" s="35" t="s">
        <v>14</v>
      </c>
      <c r="F734" s="35" t="s">
        <v>2923</v>
      </c>
      <c r="G734" s="55" t="s">
        <v>2951</v>
      </c>
    </row>
    <row r="735" spans="1:7" ht="12.5" x14ac:dyDescent="0.25">
      <c r="A735" s="54">
        <v>416</v>
      </c>
      <c r="B735" s="35" t="s">
        <v>2952</v>
      </c>
      <c r="C735" s="35" t="s">
        <v>16</v>
      </c>
      <c r="D735" s="35" t="s">
        <v>13</v>
      </c>
      <c r="E735" s="35" t="s">
        <v>25</v>
      </c>
      <c r="F735" s="35" t="s">
        <v>2914</v>
      </c>
      <c r="G735" s="55" t="s">
        <v>2953</v>
      </c>
    </row>
    <row r="736" spans="1:7" ht="12.5" x14ac:dyDescent="0.25">
      <c r="A736" s="54">
        <v>417</v>
      </c>
      <c r="B736" s="35" t="s">
        <v>2954</v>
      </c>
      <c r="C736" s="35" t="s">
        <v>16</v>
      </c>
      <c r="D736" s="35" t="s">
        <v>13</v>
      </c>
      <c r="E736" s="35" t="s">
        <v>25</v>
      </c>
      <c r="F736" s="35" t="s">
        <v>2955</v>
      </c>
      <c r="G736" s="55" t="s">
        <v>2956</v>
      </c>
    </row>
    <row r="737" spans="1:7" ht="12.5" x14ac:dyDescent="0.25">
      <c r="A737" s="54">
        <v>418</v>
      </c>
      <c r="B737" s="35" t="s">
        <v>2952</v>
      </c>
      <c r="C737" s="35" t="s">
        <v>50</v>
      </c>
      <c r="D737" s="35" t="s">
        <v>13</v>
      </c>
      <c r="E737" s="35" t="s">
        <v>1046</v>
      </c>
      <c r="F737" s="35" t="s">
        <v>2957</v>
      </c>
      <c r="G737" s="55" t="s">
        <v>2958</v>
      </c>
    </row>
    <row r="738" spans="1:7" ht="12.5" x14ac:dyDescent="0.25">
      <c r="A738" s="54">
        <v>419</v>
      </c>
      <c r="B738" s="35" t="s">
        <v>2959</v>
      </c>
      <c r="C738" s="35" t="s">
        <v>16</v>
      </c>
      <c r="D738" s="35" t="s">
        <v>13</v>
      </c>
      <c r="E738" s="35" t="s">
        <v>64</v>
      </c>
      <c r="F738" s="35" t="s">
        <v>2917</v>
      </c>
      <c r="G738" s="55" t="s">
        <v>2960</v>
      </c>
    </row>
    <row r="739" spans="1:7" ht="12.5" x14ac:dyDescent="0.25">
      <c r="A739" s="54">
        <v>420</v>
      </c>
      <c r="B739" s="35" t="s">
        <v>2961</v>
      </c>
      <c r="C739" s="35" t="s">
        <v>16</v>
      </c>
      <c r="D739" s="35" t="s">
        <v>13</v>
      </c>
      <c r="E739" s="35" t="s">
        <v>64</v>
      </c>
      <c r="F739" s="35" t="s">
        <v>2923</v>
      </c>
      <c r="G739" s="55" t="s">
        <v>2962</v>
      </c>
    </row>
    <row r="740" spans="1:7" ht="12.5" x14ac:dyDescent="0.25">
      <c r="A740" s="54">
        <v>421</v>
      </c>
      <c r="B740" s="35" t="s">
        <v>2963</v>
      </c>
      <c r="C740" s="35" t="s">
        <v>16</v>
      </c>
      <c r="D740" s="35" t="s">
        <v>31</v>
      </c>
      <c r="E740" s="35" t="s">
        <v>14</v>
      </c>
      <c r="F740" s="35" t="s">
        <v>2914</v>
      </c>
      <c r="G740" s="55" t="s">
        <v>2964</v>
      </c>
    </row>
    <row r="741" spans="1:7" ht="12.5" x14ac:dyDescent="0.25">
      <c r="A741" s="54">
        <v>422</v>
      </c>
      <c r="B741" s="35" t="s">
        <v>2965</v>
      </c>
      <c r="C741" s="35" t="s">
        <v>50</v>
      </c>
      <c r="D741" s="35" t="s">
        <v>31</v>
      </c>
      <c r="E741" s="35" t="s">
        <v>1052</v>
      </c>
      <c r="F741" s="35" t="s">
        <v>2957</v>
      </c>
      <c r="G741" s="55" t="s">
        <v>2966</v>
      </c>
    </row>
    <row r="742" spans="1:7" ht="12.5" x14ac:dyDescent="0.25">
      <c r="A742" s="54">
        <v>423</v>
      </c>
      <c r="B742" s="35" t="s">
        <v>2967</v>
      </c>
      <c r="C742" s="35" t="s">
        <v>16</v>
      </c>
      <c r="D742" s="35" t="s">
        <v>41</v>
      </c>
      <c r="E742" s="35" t="s">
        <v>235</v>
      </c>
      <c r="F742" s="35" t="s">
        <v>2917</v>
      </c>
      <c r="G742" s="55" t="s">
        <v>2968</v>
      </c>
    </row>
    <row r="743" spans="1:7" ht="12.5" x14ac:dyDescent="0.25">
      <c r="A743" s="54">
        <v>424</v>
      </c>
      <c r="B743" s="35" t="s">
        <v>2969</v>
      </c>
      <c r="C743" s="35" t="s">
        <v>16</v>
      </c>
      <c r="D743" s="35" t="s">
        <v>47</v>
      </c>
      <c r="E743" s="35" t="s">
        <v>132</v>
      </c>
      <c r="F743" s="35" t="s">
        <v>2914</v>
      </c>
      <c r="G743" s="55" t="s">
        <v>2970</v>
      </c>
    </row>
    <row r="744" spans="1:7" ht="12.5" x14ac:dyDescent="0.25">
      <c r="A744" s="54">
        <v>425</v>
      </c>
      <c r="B744" s="35" t="s">
        <v>2971</v>
      </c>
      <c r="C744" s="35" t="s">
        <v>16</v>
      </c>
      <c r="D744" s="35" t="s">
        <v>47</v>
      </c>
      <c r="E744" s="35" t="s">
        <v>14</v>
      </c>
      <c r="F744" s="35" t="s">
        <v>2920</v>
      </c>
      <c r="G744" s="55" t="s">
        <v>2972</v>
      </c>
    </row>
    <row r="745" spans="1:7" ht="12.5" x14ac:dyDescent="0.25">
      <c r="A745" s="54">
        <v>426</v>
      </c>
      <c r="B745" s="35" t="s">
        <v>2973</v>
      </c>
      <c r="C745" s="35" t="s">
        <v>16</v>
      </c>
      <c r="D745" s="35" t="s">
        <v>47</v>
      </c>
      <c r="E745" s="35" t="s">
        <v>14</v>
      </c>
      <c r="F745" s="35" t="s">
        <v>2917</v>
      </c>
      <c r="G745" s="55" t="s">
        <v>2974</v>
      </c>
    </row>
    <row r="746" spans="1:7" ht="12.5" x14ac:dyDescent="0.25">
      <c r="A746" s="54">
        <v>427</v>
      </c>
      <c r="B746" s="35" t="s">
        <v>2975</v>
      </c>
      <c r="C746" s="35" t="s">
        <v>16</v>
      </c>
      <c r="D746" s="35" t="s">
        <v>47</v>
      </c>
      <c r="E746" s="35" t="s">
        <v>385</v>
      </c>
      <c r="F746" s="35" t="s">
        <v>2923</v>
      </c>
      <c r="G746" s="55" t="s">
        <v>2976</v>
      </c>
    </row>
    <row r="747" spans="1:7" ht="12.5" x14ac:dyDescent="0.25">
      <c r="A747" s="54">
        <v>428</v>
      </c>
      <c r="B747" s="35" t="s">
        <v>2975</v>
      </c>
      <c r="C747" s="35" t="s">
        <v>50</v>
      </c>
      <c r="D747" s="35" t="s">
        <v>47</v>
      </c>
      <c r="E747" s="35" t="s">
        <v>1063</v>
      </c>
      <c r="F747" s="35" t="s">
        <v>2914</v>
      </c>
      <c r="G747" s="55" t="s">
        <v>2977</v>
      </c>
    </row>
    <row r="748" spans="1:7" ht="12.5" x14ac:dyDescent="0.25">
      <c r="A748" s="54">
        <v>429</v>
      </c>
      <c r="B748" s="35" t="s">
        <v>2978</v>
      </c>
      <c r="C748" s="35" t="s">
        <v>16</v>
      </c>
      <c r="D748" s="35" t="s">
        <v>47</v>
      </c>
      <c r="E748" s="35" t="s">
        <v>64</v>
      </c>
      <c r="F748" s="35" t="s">
        <v>2920</v>
      </c>
      <c r="G748" s="55" t="s">
        <v>2979</v>
      </c>
    </row>
    <row r="749" spans="1:7" ht="12.5" x14ac:dyDescent="0.25">
      <c r="A749" s="54">
        <v>430</v>
      </c>
      <c r="B749" s="35" t="s">
        <v>2980</v>
      </c>
      <c r="C749" s="35" t="s">
        <v>16</v>
      </c>
      <c r="D749" s="35" t="s">
        <v>47</v>
      </c>
      <c r="E749" s="35" t="s">
        <v>235</v>
      </c>
      <c r="F749" s="35" t="s">
        <v>2917</v>
      </c>
      <c r="G749" s="55" t="s">
        <v>2981</v>
      </c>
    </row>
    <row r="750" spans="1:7" ht="12.5" x14ac:dyDescent="0.25">
      <c r="A750" s="54">
        <v>431</v>
      </c>
      <c r="B750" s="35" t="s">
        <v>2982</v>
      </c>
      <c r="C750" s="35" t="s">
        <v>16</v>
      </c>
      <c r="D750" s="35" t="s">
        <v>47</v>
      </c>
      <c r="E750" s="35" t="s">
        <v>101</v>
      </c>
      <c r="F750" s="35" t="s">
        <v>2920</v>
      </c>
      <c r="G750" s="55" t="s">
        <v>2983</v>
      </c>
    </row>
    <row r="751" spans="1:7" ht="12.5" x14ac:dyDescent="0.25">
      <c r="A751" s="54">
        <v>432</v>
      </c>
      <c r="B751" s="35" t="s">
        <v>2984</v>
      </c>
      <c r="C751" s="35" t="s">
        <v>50</v>
      </c>
      <c r="D751" s="35" t="s">
        <v>52</v>
      </c>
      <c r="E751" s="35" t="s">
        <v>487</v>
      </c>
      <c r="F751" s="35" t="s">
        <v>2947</v>
      </c>
      <c r="G751" s="55" t="s">
        <v>2985</v>
      </c>
    </row>
    <row r="752" spans="1:7" ht="12.5" x14ac:dyDescent="0.25">
      <c r="A752" s="54">
        <v>433</v>
      </c>
      <c r="B752" s="35" t="s">
        <v>2986</v>
      </c>
      <c r="C752" s="35" t="s">
        <v>50</v>
      </c>
      <c r="D752" s="35" t="s">
        <v>195</v>
      </c>
      <c r="E752" s="35" t="s">
        <v>1068</v>
      </c>
      <c r="F752" s="35" t="s">
        <v>2987</v>
      </c>
      <c r="G752" s="55" t="s">
        <v>2988</v>
      </c>
    </row>
    <row r="753" spans="1:7" ht="12.5" x14ac:dyDescent="0.25">
      <c r="A753" s="54">
        <v>434</v>
      </c>
      <c r="B753" s="35" t="s">
        <v>2989</v>
      </c>
      <c r="C753" s="35" t="s">
        <v>50</v>
      </c>
      <c r="D753" s="35" t="s">
        <v>195</v>
      </c>
      <c r="E753" s="35" t="s">
        <v>1070</v>
      </c>
      <c r="F753" s="35" t="s">
        <v>2901</v>
      </c>
      <c r="G753" s="55" t="s">
        <v>2990</v>
      </c>
    </row>
    <row r="754" spans="1:7" ht="12.5" x14ac:dyDescent="0.25">
      <c r="A754" s="54">
        <v>435</v>
      </c>
      <c r="B754" s="35" t="s">
        <v>2991</v>
      </c>
      <c r="C754" s="35" t="s">
        <v>16</v>
      </c>
      <c r="D754" s="35" t="s">
        <v>13</v>
      </c>
      <c r="E754" s="35" t="s">
        <v>276</v>
      </c>
      <c r="F754" s="35" t="s">
        <v>2877</v>
      </c>
      <c r="G754" s="55" t="s">
        <v>2992</v>
      </c>
    </row>
    <row r="755" spans="1:7" ht="12.5" x14ac:dyDescent="0.25">
      <c r="A755" s="54">
        <v>436</v>
      </c>
      <c r="B755" s="35" t="s">
        <v>2993</v>
      </c>
      <c r="C755" s="35" t="s">
        <v>16</v>
      </c>
      <c r="D755" s="35" t="s">
        <v>13</v>
      </c>
      <c r="E755" s="35" t="s">
        <v>64</v>
      </c>
      <c r="F755" s="35" t="s">
        <v>2994</v>
      </c>
      <c r="G755" s="55" t="s">
        <v>2995</v>
      </c>
    </row>
    <row r="756" spans="1:7" ht="12.5" x14ac:dyDescent="0.25">
      <c r="A756" s="54">
        <v>437</v>
      </c>
      <c r="B756" s="35" t="s">
        <v>2996</v>
      </c>
      <c r="C756" s="35" t="s">
        <v>16</v>
      </c>
      <c r="D756" s="35" t="s">
        <v>31</v>
      </c>
      <c r="E756" s="35" t="s">
        <v>283</v>
      </c>
      <c r="F756" s="35" t="s">
        <v>2997</v>
      </c>
      <c r="G756" s="55" t="s">
        <v>2998</v>
      </c>
    </row>
    <row r="757" spans="1:7" ht="12.5" x14ac:dyDescent="0.25">
      <c r="A757" s="54">
        <v>438</v>
      </c>
      <c r="B757" s="35" t="s">
        <v>2999</v>
      </c>
      <c r="C757" s="35" t="s">
        <v>16</v>
      </c>
      <c r="D757" s="35" t="s">
        <v>31</v>
      </c>
      <c r="E757" s="35" t="s">
        <v>260</v>
      </c>
      <c r="F757" s="35" t="s">
        <v>2866</v>
      </c>
      <c r="G757" s="55" t="s">
        <v>3000</v>
      </c>
    </row>
    <row r="758" spans="1:7" ht="12.5" x14ac:dyDescent="0.25">
      <c r="A758" s="54">
        <v>439</v>
      </c>
      <c r="B758" s="35" t="s">
        <v>3001</v>
      </c>
      <c r="C758" s="35" t="s">
        <v>16</v>
      </c>
      <c r="D758" s="35" t="s">
        <v>41</v>
      </c>
      <c r="E758" s="35" t="s">
        <v>64</v>
      </c>
      <c r="F758" s="35" t="s">
        <v>2987</v>
      </c>
      <c r="G758" s="55" t="s">
        <v>3002</v>
      </c>
    </row>
    <row r="759" spans="1:7" ht="12.5" x14ac:dyDescent="0.25">
      <c r="A759" s="54">
        <v>440</v>
      </c>
      <c r="B759" s="35" t="s">
        <v>3003</v>
      </c>
      <c r="C759" s="35" t="s">
        <v>16</v>
      </c>
      <c r="D759" s="35" t="s">
        <v>47</v>
      </c>
      <c r="E759" s="35" t="s">
        <v>53</v>
      </c>
      <c r="F759" s="35" t="s">
        <v>3004</v>
      </c>
      <c r="G759" s="55" t="s">
        <v>3005</v>
      </c>
    </row>
    <row r="760" spans="1:7" ht="12.5" x14ac:dyDescent="0.25">
      <c r="A760" s="54">
        <v>441</v>
      </c>
      <c r="B760" s="35" t="s">
        <v>3006</v>
      </c>
      <c r="C760" s="35" t="s">
        <v>16</v>
      </c>
      <c r="D760" s="35" t="s">
        <v>47</v>
      </c>
      <c r="E760" s="35" t="s">
        <v>642</v>
      </c>
      <c r="F760" s="35" t="s">
        <v>2860</v>
      </c>
      <c r="G760" s="55" t="s">
        <v>3007</v>
      </c>
    </row>
    <row r="761" spans="1:7" ht="12.5" x14ac:dyDescent="0.25">
      <c r="A761" s="54">
        <v>442</v>
      </c>
      <c r="B761" s="35" t="s">
        <v>3001</v>
      </c>
      <c r="C761" s="35" t="s">
        <v>50</v>
      </c>
      <c r="D761" s="35" t="s">
        <v>47</v>
      </c>
      <c r="E761" s="35" t="s">
        <v>290</v>
      </c>
      <c r="F761" s="35" t="s">
        <v>3008</v>
      </c>
      <c r="G761" s="55" t="s">
        <v>3009</v>
      </c>
    </row>
    <row r="762" spans="1:7" ht="12.5" x14ac:dyDescent="0.25">
      <c r="A762" s="54">
        <v>443</v>
      </c>
      <c r="B762" s="35" t="s">
        <v>3010</v>
      </c>
      <c r="C762" s="35" t="s">
        <v>16</v>
      </c>
      <c r="D762" s="35" t="s">
        <v>13</v>
      </c>
      <c r="E762" s="35" t="s">
        <v>14</v>
      </c>
      <c r="F762" s="35" t="s">
        <v>2831</v>
      </c>
      <c r="G762" s="55" t="s">
        <v>3011</v>
      </c>
    </row>
    <row r="763" spans="1:7" ht="12.5" x14ac:dyDescent="0.25">
      <c r="A763" s="54">
        <v>444</v>
      </c>
      <c r="B763" s="35" t="s">
        <v>3012</v>
      </c>
      <c r="C763" s="35" t="s">
        <v>16</v>
      </c>
      <c r="D763" s="35" t="s">
        <v>31</v>
      </c>
      <c r="E763" s="35" t="s">
        <v>14</v>
      </c>
      <c r="F763" s="35" t="s">
        <v>3013</v>
      </c>
      <c r="G763" s="55" t="s">
        <v>3014</v>
      </c>
    </row>
    <row r="764" spans="1:7" ht="12.5" x14ac:dyDescent="0.25">
      <c r="A764" s="54">
        <v>445</v>
      </c>
      <c r="B764" s="35" t="s">
        <v>3015</v>
      </c>
      <c r="C764" s="35" t="s">
        <v>16</v>
      </c>
      <c r="D764" s="35" t="s">
        <v>31</v>
      </c>
      <c r="E764" s="35" t="s">
        <v>25</v>
      </c>
      <c r="F764" s="35" t="s">
        <v>3016</v>
      </c>
      <c r="G764" s="55" t="s">
        <v>3017</v>
      </c>
    </row>
    <row r="765" spans="1:7" ht="12.5" x14ac:dyDescent="0.25">
      <c r="A765" s="54">
        <v>446</v>
      </c>
      <c r="B765" s="35" t="s">
        <v>3018</v>
      </c>
      <c r="C765" s="35" t="s">
        <v>16</v>
      </c>
      <c r="D765" s="35" t="s">
        <v>31</v>
      </c>
      <c r="E765" s="35" t="s">
        <v>64</v>
      </c>
      <c r="F765" s="35" t="s">
        <v>3016</v>
      </c>
      <c r="G765" s="55" t="s">
        <v>3019</v>
      </c>
    </row>
    <row r="766" spans="1:7" ht="12.5" x14ac:dyDescent="0.25">
      <c r="A766" s="54">
        <v>447</v>
      </c>
      <c r="B766" s="35" t="s">
        <v>3020</v>
      </c>
      <c r="C766" s="35" t="s">
        <v>16</v>
      </c>
      <c r="D766" s="35" t="s">
        <v>31</v>
      </c>
      <c r="E766" s="35" t="s">
        <v>64</v>
      </c>
      <c r="F766" s="35" t="s">
        <v>3021</v>
      </c>
      <c r="G766" s="55" t="s">
        <v>3022</v>
      </c>
    </row>
    <row r="767" spans="1:7" ht="12.5" x14ac:dyDescent="0.25">
      <c r="A767" s="54">
        <v>448</v>
      </c>
      <c r="B767" s="35" t="s">
        <v>3010</v>
      </c>
      <c r="C767" s="35" t="s">
        <v>50</v>
      </c>
      <c r="D767" s="35" t="s">
        <v>41</v>
      </c>
      <c r="E767" s="35" t="s">
        <v>64</v>
      </c>
      <c r="F767" s="35" t="s">
        <v>3023</v>
      </c>
      <c r="G767" s="55" t="s">
        <v>3024</v>
      </c>
    </row>
    <row r="768" spans="1:7" ht="12.5" x14ac:dyDescent="0.25">
      <c r="A768" s="54">
        <v>449</v>
      </c>
      <c r="B768" s="35" t="s">
        <v>3020</v>
      </c>
      <c r="C768" s="35" t="s">
        <v>50</v>
      </c>
      <c r="D768" s="35" t="s">
        <v>47</v>
      </c>
      <c r="E768" s="35" t="s">
        <v>14</v>
      </c>
      <c r="F768" s="35" t="s">
        <v>3025</v>
      </c>
      <c r="G768" s="55" t="s">
        <v>3026</v>
      </c>
    </row>
    <row r="769" spans="1:7" ht="12.5" x14ac:dyDescent="0.25">
      <c r="A769" s="54">
        <v>450</v>
      </c>
      <c r="B769" s="35" t="s">
        <v>3012</v>
      </c>
      <c r="C769" s="35" t="s">
        <v>50</v>
      </c>
      <c r="D769" s="35" t="s">
        <v>47</v>
      </c>
      <c r="E769" s="35" t="s">
        <v>281</v>
      </c>
      <c r="F769" s="35" t="s">
        <v>3016</v>
      </c>
      <c r="G769" s="55" t="s">
        <v>3027</v>
      </c>
    </row>
    <row r="770" spans="1:7" ht="12.5" x14ac:dyDescent="0.25">
      <c r="A770" s="54">
        <v>451</v>
      </c>
      <c r="B770" s="35" t="s">
        <v>3015</v>
      </c>
      <c r="C770" s="35" t="s">
        <v>50</v>
      </c>
      <c r="D770" s="35" t="s">
        <v>47</v>
      </c>
      <c r="E770" s="35" t="s">
        <v>64</v>
      </c>
      <c r="F770" s="35" t="s">
        <v>3023</v>
      </c>
      <c r="G770" s="55" t="s">
        <v>3028</v>
      </c>
    </row>
    <row r="771" spans="1:7" ht="12.5" x14ac:dyDescent="0.25">
      <c r="A771" s="54">
        <v>452</v>
      </c>
      <c r="B771" s="35" t="s">
        <v>3018</v>
      </c>
      <c r="C771" s="35" t="s">
        <v>50</v>
      </c>
      <c r="D771" s="35" t="s">
        <v>52</v>
      </c>
      <c r="E771" s="35" t="s">
        <v>1102</v>
      </c>
      <c r="F771" s="35" t="s">
        <v>2833</v>
      </c>
      <c r="G771" s="55" t="s">
        <v>3029</v>
      </c>
    </row>
    <row r="772" spans="1:7" ht="12.5" x14ac:dyDescent="0.25">
      <c r="A772" s="54">
        <v>453</v>
      </c>
      <c r="B772" s="35" t="s">
        <v>3030</v>
      </c>
      <c r="C772" s="35" t="s">
        <v>16</v>
      </c>
      <c r="D772" s="35" t="s">
        <v>13</v>
      </c>
      <c r="E772" s="35" t="s">
        <v>14</v>
      </c>
      <c r="F772" s="35" t="s">
        <v>2899</v>
      </c>
      <c r="G772" s="55" t="s">
        <v>3031</v>
      </c>
    </row>
    <row r="773" spans="1:7" ht="12.5" x14ac:dyDescent="0.25">
      <c r="A773" s="54">
        <v>454</v>
      </c>
      <c r="B773" s="35" t="s">
        <v>3032</v>
      </c>
      <c r="C773" s="35" t="s">
        <v>16</v>
      </c>
      <c r="D773" s="35" t="s">
        <v>13</v>
      </c>
      <c r="E773" s="35" t="s">
        <v>281</v>
      </c>
      <c r="F773" s="35" t="s">
        <v>3033</v>
      </c>
      <c r="G773" s="55" t="s">
        <v>3034</v>
      </c>
    </row>
    <row r="774" spans="1:7" ht="12.5" x14ac:dyDescent="0.25">
      <c r="A774" s="54">
        <v>455</v>
      </c>
      <c r="B774" s="35" t="s">
        <v>3035</v>
      </c>
      <c r="C774" s="35" t="s">
        <v>16</v>
      </c>
      <c r="D774" s="35" t="s">
        <v>13</v>
      </c>
      <c r="E774" s="35" t="s">
        <v>36</v>
      </c>
      <c r="F774" s="35" t="s">
        <v>3008</v>
      </c>
      <c r="G774" s="55" t="s">
        <v>3036</v>
      </c>
    </row>
    <row r="775" spans="1:7" ht="12.5" x14ac:dyDescent="0.25">
      <c r="A775" s="54">
        <v>456</v>
      </c>
      <c r="B775" s="35" t="s">
        <v>3037</v>
      </c>
      <c r="C775" s="35" t="s">
        <v>16</v>
      </c>
      <c r="D775" s="35" t="s">
        <v>13</v>
      </c>
      <c r="E775" s="35" t="s">
        <v>36</v>
      </c>
      <c r="F775" s="35" t="s">
        <v>2955</v>
      </c>
      <c r="G775" s="55" t="s">
        <v>3038</v>
      </c>
    </row>
    <row r="776" spans="1:7" ht="12.5" x14ac:dyDescent="0.25">
      <c r="A776" s="54">
        <v>457</v>
      </c>
      <c r="B776" s="35" t="s">
        <v>3030</v>
      </c>
      <c r="C776" s="35" t="s">
        <v>50</v>
      </c>
      <c r="D776" s="35" t="s">
        <v>31</v>
      </c>
      <c r="E776" s="35" t="s">
        <v>19</v>
      </c>
      <c r="F776" s="35" t="s">
        <v>2860</v>
      </c>
      <c r="G776" s="55" t="s">
        <v>3039</v>
      </c>
    </row>
    <row r="777" spans="1:7" ht="12.5" x14ac:dyDescent="0.25">
      <c r="A777" s="54">
        <v>458</v>
      </c>
      <c r="B777" s="35" t="s">
        <v>3040</v>
      </c>
      <c r="C777" s="35" t="s">
        <v>16</v>
      </c>
      <c r="D777" s="35" t="s">
        <v>31</v>
      </c>
      <c r="E777" s="35" t="s">
        <v>19</v>
      </c>
      <c r="F777" s="35" t="s">
        <v>3025</v>
      </c>
      <c r="G777" s="55" t="s">
        <v>3041</v>
      </c>
    </row>
    <row r="778" spans="1:7" ht="12.5" x14ac:dyDescent="0.25">
      <c r="A778" s="54">
        <v>459</v>
      </c>
      <c r="B778" s="35" t="s">
        <v>3042</v>
      </c>
      <c r="C778" s="35" t="s">
        <v>16</v>
      </c>
      <c r="D778" s="35" t="s">
        <v>31</v>
      </c>
      <c r="E778" s="35" t="s">
        <v>25</v>
      </c>
      <c r="F778" s="35" t="s">
        <v>2957</v>
      </c>
      <c r="G778" s="55" t="s">
        <v>3043</v>
      </c>
    </row>
    <row r="779" spans="1:7" ht="12.5" x14ac:dyDescent="0.25">
      <c r="A779" s="54">
        <v>460</v>
      </c>
      <c r="B779" s="35" t="s">
        <v>3042</v>
      </c>
      <c r="C779" s="35" t="s">
        <v>50</v>
      </c>
      <c r="D779" s="35" t="s">
        <v>31</v>
      </c>
      <c r="E779" s="35" t="s">
        <v>560</v>
      </c>
      <c r="F779" s="35" t="s">
        <v>2997</v>
      </c>
      <c r="G779" s="55" t="s">
        <v>3044</v>
      </c>
    </row>
    <row r="780" spans="1:7" ht="12.5" x14ac:dyDescent="0.25">
      <c r="A780" s="54">
        <v>461</v>
      </c>
      <c r="B780" s="35" t="s">
        <v>3032</v>
      </c>
      <c r="C780" s="35" t="s">
        <v>50</v>
      </c>
      <c r="D780" s="35" t="s">
        <v>41</v>
      </c>
      <c r="E780" s="35" t="s">
        <v>256</v>
      </c>
      <c r="F780" s="35" t="s">
        <v>2955</v>
      </c>
      <c r="G780" s="55" t="s">
        <v>3045</v>
      </c>
    </row>
    <row r="781" spans="1:7" ht="12.5" x14ac:dyDescent="0.25">
      <c r="A781" s="54">
        <v>462</v>
      </c>
      <c r="B781" s="35" t="s">
        <v>3040</v>
      </c>
      <c r="C781" s="35" t="s">
        <v>50</v>
      </c>
      <c r="D781" s="35" t="s">
        <v>41</v>
      </c>
      <c r="E781" s="35" t="s">
        <v>586</v>
      </c>
      <c r="F781" s="35" t="s">
        <v>3004</v>
      </c>
      <c r="G781" s="55" t="s">
        <v>3046</v>
      </c>
    </row>
    <row r="782" spans="1:7" ht="12.5" x14ac:dyDescent="0.25">
      <c r="A782" s="54">
        <v>463</v>
      </c>
      <c r="B782" s="35" t="s">
        <v>3047</v>
      </c>
      <c r="C782" s="35" t="s">
        <v>16</v>
      </c>
      <c r="D782" s="35" t="s">
        <v>47</v>
      </c>
      <c r="E782" s="35" t="s">
        <v>14</v>
      </c>
      <c r="F782" s="35" t="s">
        <v>3048</v>
      </c>
      <c r="G782" s="55" t="s">
        <v>3049</v>
      </c>
    </row>
    <row r="783" spans="1:7" ht="12.5" x14ac:dyDescent="0.25">
      <c r="A783" s="54">
        <v>464</v>
      </c>
      <c r="B783" s="35" t="s">
        <v>3050</v>
      </c>
      <c r="C783" s="35" t="s">
        <v>16</v>
      </c>
      <c r="D783" s="35" t="s">
        <v>47</v>
      </c>
      <c r="E783" s="35" t="s">
        <v>281</v>
      </c>
      <c r="F783" s="35" t="s">
        <v>2877</v>
      </c>
      <c r="G783" s="55" t="s">
        <v>3051</v>
      </c>
    </row>
    <row r="784" spans="1:7" ht="12.5" x14ac:dyDescent="0.25">
      <c r="A784" s="54">
        <v>465</v>
      </c>
      <c r="B784" s="35" t="s">
        <v>3050</v>
      </c>
      <c r="C784" s="35" t="s">
        <v>50</v>
      </c>
      <c r="D784" s="35" t="s">
        <v>47</v>
      </c>
      <c r="E784" s="35" t="s">
        <v>256</v>
      </c>
      <c r="F784" s="35" t="s">
        <v>2901</v>
      </c>
      <c r="G784" s="55" t="s">
        <v>3052</v>
      </c>
    </row>
    <row r="785" spans="1:7" ht="12.5" x14ac:dyDescent="0.25">
      <c r="A785" s="54">
        <v>466</v>
      </c>
      <c r="B785" s="35" t="s">
        <v>3053</v>
      </c>
      <c r="C785" s="35" t="s">
        <v>50</v>
      </c>
      <c r="D785" s="35" t="s">
        <v>47</v>
      </c>
      <c r="E785" s="35" t="s">
        <v>586</v>
      </c>
      <c r="F785" s="35" t="s">
        <v>3054</v>
      </c>
      <c r="G785" s="55" t="s">
        <v>3055</v>
      </c>
    </row>
    <row r="786" spans="1:7" ht="12.5" x14ac:dyDescent="0.25">
      <c r="A786" s="54">
        <v>467</v>
      </c>
      <c r="B786" s="35" t="s">
        <v>3053</v>
      </c>
      <c r="C786" s="35" t="s">
        <v>16</v>
      </c>
      <c r="D786" s="35" t="s">
        <v>52</v>
      </c>
      <c r="E786" s="35" t="s">
        <v>14</v>
      </c>
      <c r="F786" s="35" t="s">
        <v>2955</v>
      </c>
      <c r="G786" s="55" t="s">
        <v>3056</v>
      </c>
    </row>
    <row r="787" spans="1:7" ht="12.5" x14ac:dyDescent="0.25">
      <c r="A787" s="54">
        <v>468</v>
      </c>
      <c r="B787" s="35" t="s">
        <v>3047</v>
      </c>
      <c r="C787" s="35" t="s">
        <v>50</v>
      </c>
      <c r="D787" s="35" t="s">
        <v>52</v>
      </c>
      <c r="E787" s="35" t="s">
        <v>36</v>
      </c>
      <c r="F787" s="35" t="s">
        <v>2893</v>
      </c>
      <c r="G787" s="55" t="s">
        <v>3057</v>
      </c>
    </row>
    <row r="788" spans="1:7" ht="12.5" x14ac:dyDescent="0.25">
      <c r="A788" s="54">
        <v>469</v>
      </c>
      <c r="B788" s="35" t="s">
        <v>3042</v>
      </c>
      <c r="C788" s="35" t="s">
        <v>155</v>
      </c>
      <c r="D788" s="35" t="s">
        <v>52</v>
      </c>
      <c r="E788" s="35" t="s">
        <v>1122</v>
      </c>
      <c r="F788" s="35" t="s">
        <v>3058</v>
      </c>
      <c r="G788" s="55" t="s">
        <v>3059</v>
      </c>
    </row>
    <row r="789" spans="1:7" ht="12.5" x14ac:dyDescent="0.25">
      <c r="A789" s="54">
        <v>470</v>
      </c>
      <c r="B789" s="35" t="s">
        <v>3042</v>
      </c>
      <c r="C789" s="35" t="s">
        <v>144</v>
      </c>
      <c r="D789" s="35" t="s">
        <v>52</v>
      </c>
      <c r="E789" s="35" t="s">
        <v>1123</v>
      </c>
      <c r="F789" s="35" t="s">
        <v>3060</v>
      </c>
      <c r="G789" s="55" t="s">
        <v>3061</v>
      </c>
    </row>
    <row r="790" spans="1:7" ht="12.5" x14ac:dyDescent="0.25">
      <c r="A790" s="54">
        <v>471</v>
      </c>
      <c r="B790" s="35" t="s">
        <v>3053</v>
      </c>
      <c r="C790" s="35" t="s">
        <v>144</v>
      </c>
      <c r="D790" s="35" t="s">
        <v>195</v>
      </c>
      <c r="E790" s="35" t="s">
        <v>1124</v>
      </c>
      <c r="F790" s="35" t="s">
        <v>3033</v>
      </c>
      <c r="G790" s="55" t="s">
        <v>3062</v>
      </c>
    </row>
    <row r="791" spans="1:7" ht="12.5" x14ac:dyDescent="0.25">
      <c r="A791" s="54">
        <v>472</v>
      </c>
      <c r="B791" s="35" t="s">
        <v>3063</v>
      </c>
      <c r="C791" s="35" t="s">
        <v>16</v>
      </c>
      <c r="D791" s="35" t="s">
        <v>13</v>
      </c>
      <c r="E791" s="35" t="s">
        <v>261</v>
      </c>
      <c r="F791" s="35" t="s">
        <v>2917</v>
      </c>
      <c r="G791" s="55" t="s">
        <v>3064</v>
      </c>
    </row>
    <row r="792" spans="1:7" ht="12.5" x14ac:dyDescent="0.25">
      <c r="A792" s="54">
        <v>473</v>
      </c>
      <c r="B792" s="35" t="s">
        <v>3065</v>
      </c>
      <c r="C792" s="35" t="s">
        <v>50</v>
      </c>
      <c r="D792" s="35" t="s">
        <v>13</v>
      </c>
      <c r="E792" s="35" t="s">
        <v>139</v>
      </c>
      <c r="F792" s="35" t="s">
        <v>2899</v>
      </c>
      <c r="G792" s="55" t="s">
        <v>3066</v>
      </c>
    </row>
    <row r="793" spans="1:7" ht="12.5" x14ac:dyDescent="0.25">
      <c r="A793" s="54">
        <v>474</v>
      </c>
      <c r="B793" s="35" t="s">
        <v>3063</v>
      </c>
      <c r="C793" s="35" t="s">
        <v>50</v>
      </c>
      <c r="D793" s="35" t="s">
        <v>13</v>
      </c>
      <c r="E793" s="35" t="s">
        <v>271</v>
      </c>
      <c r="F793" s="35" t="s">
        <v>2817</v>
      </c>
      <c r="G793" s="55" t="s">
        <v>3067</v>
      </c>
    </row>
    <row r="794" spans="1:7" ht="12.5" x14ac:dyDescent="0.25">
      <c r="A794" s="54">
        <v>475</v>
      </c>
      <c r="B794" s="35" t="s">
        <v>3068</v>
      </c>
      <c r="C794" s="35" t="s">
        <v>16</v>
      </c>
      <c r="D794" s="35" t="s">
        <v>13</v>
      </c>
      <c r="E794" s="35" t="s">
        <v>25</v>
      </c>
      <c r="F794" s="35" t="s">
        <v>3008</v>
      </c>
      <c r="G794" s="55" t="s">
        <v>3069</v>
      </c>
    </row>
    <row r="795" spans="1:7" ht="12.5" x14ac:dyDescent="0.25">
      <c r="A795" s="54">
        <v>476</v>
      </c>
      <c r="B795" s="35" t="s">
        <v>3070</v>
      </c>
      <c r="C795" s="35" t="s">
        <v>16</v>
      </c>
      <c r="D795" s="35" t="s">
        <v>13</v>
      </c>
      <c r="E795" s="35" t="s">
        <v>64</v>
      </c>
      <c r="F795" s="35" t="s">
        <v>2877</v>
      </c>
      <c r="G795" s="55" t="s">
        <v>3071</v>
      </c>
    </row>
    <row r="796" spans="1:7" ht="12.5" x14ac:dyDescent="0.25">
      <c r="A796" s="54">
        <v>477</v>
      </c>
      <c r="B796" s="35" t="s">
        <v>3072</v>
      </c>
      <c r="C796" s="35" t="s">
        <v>16</v>
      </c>
      <c r="D796" s="35" t="s">
        <v>13</v>
      </c>
      <c r="E796" s="35" t="s">
        <v>101</v>
      </c>
      <c r="F796" s="35" t="s">
        <v>1644</v>
      </c>
      <c r="G796" s="55" t="s">
        <v>3073</v>
      </c>
    </row>
    <row r="797" spans="1:7" ht="12.5" x14ac:dyDescent="0.25">
      <c r="A797" s="54">
        <v>478</v>
      </c>
      <c r="B797" s="35" t="s">
        <v>3074</v>
      </c>
      <c r="C797" s="35" t="s">
        <v>16</v>
      </c>
      <c r="D797" s="35" t="s">
        <v>31</v>
      </c>
      <c r="E797" s="35" t="s">
        <v>14</v>
      </c>
      <c r="F797" s="35" t="s">
        <v>3075</v>
      </c>
      <c r="G797" s="55" t="s">
        <v>3076</v>
      </c>
    </row>
    <row r="798" spans="1:7" ht="12.5" x14ac:dyDescent="0.25">
      <c r="A798" s="54">
        <v>479</v>
      </c>
      <c r="B798" s="35" t="s">
        <v>3077</v>
      </c>
      <c r="C798" s="35" t="s">
        <v>16</v>
      </c>
      <c r="D798" s="35" t="s">
        <v>31</v>
      </c>
      <c r="E798" s="35" t="s">
        <v>25</v>
      </c>
      <c r="F798" s="35" t="s">
        <v>3078</v>
      </c>
      <c r="G798" s="55" t="s">
        <v>3079</v>
      </c>
    </row>
    <row r="799" spans="1:7" ht="12.5" x14ac:dyDescent="0.25">
      <c r="A799" s="54">
        <v>480</v>
      </c>
      <c r="B799" s="35" t="s">
        <v>3080</v>
      </c>
      <c r="C799" s="35" t="s">
        <v>16</v>
      </c>
      <c r="D799" s="35" t="s">
        <v>31</v>
      </c>
      <c r="E799" s="35" t="s">
        <v>64</v>
      </c>
      <c r="F799" s="35" t="s">
        <v>2537</v>
      </c>
      <c r="G799" s="55" t="s">
        <v>3081</v>
      </c>
    </row>
    <row r="800" spans="1:7" ht="12.5" x14ac:dyDescent="0.25">
      <c r="A800" s="54">
        <v>481</v>
      </c>
      <c r="B800" s="35" t="s">
        <v>3082</v>
      </c>
      <c r="C800" s="35" t="s">
        <v>16</v>
      </c>
      <c r="D800" s="35" t="s">
        <v>41</v>
      </c>
      <c r="E800" s="35" t="s">
        <v>64</v>
      </c>
      <c r="F800" s="35" t="s">
        <v>2851</v>
      </c>
      <c r="G800" s="55" t="s">
        <v>3083</v>
      </c>
    </row>
    <row r="801" spans="1:7" ht="12.5" x14ac:dyDescent="0.25">
      <c r="A801" s="54">
        <v>482</v>
      </c>
      <c r="B801" s="35" t="s">
        <v>3084</v>
      </c>
      <c r="C801" s="35" t="s">
        <v>16</v>
      </c>
      <c r="D801" s="35" t="s">
        <v>41</v>
      </c>
      <c r="E801" s="35" t="s">
        <v>101</v>
      </c>
      <c r="F801" s="35" t="s">
        <v>2863</v>
      </c>
      <c r="G801" s="55" t="s">
        <v>3085</v>
      </c>
    </row>
    <row r="802" spans="1:7" ht="12.5" x14ac:dyDescent="0.25">
      <c r="A802" s="54">
        <v>483</v>
      </c>
      <c r="B802" s="35" t="s">
        <v>3086</v>
      </c>
      <c r="C802" s="35" t="s">
        <v>16</v>
      </c>
      <c r="D802" s="35" t="s">
        <v>41</v>
      </c>
      <c r="E802" s="35" t="s">
        <v>101</v>
      </c>
      <c r="F802" s="35" t="s">
        <v>3033</v>
      </c>
      <c r="G802" s="55" t="s">
        <v>3087</v>
      </c>
    </row>
    <row r="803" spans="1:7" ht="12.5" x14ac:dyDescent="0.25">
      <c r="A803" s="54">
        <v>484</v>
      </c>
      <c r="B803" s="35" t="s">
        <v>3065</v>
      </c>
      <c r="C803" s="35" t="s">
        <v>16</v>
      </c>
      <c r="D803" s="35" t="s">
        <v>47</v>
      </c>
      <c r="E803" s="35" t="s">
        <v>14</v>
      </c>
      <c r="F803" s="35" t="s">
        <v>3054</v>
      </c>
      <c r="G803" s="55" t="s">
        <v>3088</v>
      </c>
    </row>
    <row r="804" spans="1:7" ht="12.5" x14ac:dyDescent="0.25">
      <c r="A804" s="54">
        <v>485</v>
      </c>
      <c r="B804" s="35" t="s">
        <v>3089</v>
      </c>
      <c r="C804" s="35" t="s">
        <v>16</v>
      </c>
      <c r="D804" s="35" t="s">
        <v>47</v>
      </c>
      <c r="E804" s="35" t="s">
        <v>64</v>
      </c>
      <c r="F804" s="35" t="s">
        <v>2863</v>
      </c>
      <c r="G804" s="55" t="s">
        <v>3090</v>
      </c>
    </row>
    <row r="805" spans="1:7" ht="12.5" x14ac:dyDescent="0.25">
      <c r="A805" s="54">
        <v>486</v>
      </c>
      <c r="B805" s="35" t="s">
        <v>3091</v>
      </c>
      <c r="C805" s="35" t="s">
        <v>50</v>
      </c>
      <c r="D805" s="35" t="s">
        <v>13</v>
      </c>
      <c r="E805" s="35" t="s">
        <v>239</v>
      </c>
      <c r="F805" s="35" t="s">
        <v>2863</v>
      </c>
      <c r="G805" s="55" t="s">
        <v>3092</v>
      </c>
    </row>
    <row r="806" spans="1:7" ht="12.5" x14ac:dyDescent="0.25">
      <c r="A806" s="54">
        <v>487</v>
      </c>
      <c r="B806" s="35" t="s">
        <v>3093</v>
      </c>
      <c r="C806" s="35" t="s">
        <v>16</v>
      </c>
      <c r="D806" s="35" t="s">
        <v>13</v>
      </c>
      <c r="E806" s="35" t="s">
        <v>14</v>
      </c>
      <c r="F806" s="35" t="s">
        <v>3078</v>
      </c>
      <c r="G806" s="55" t="s">
        <v>3094</v>
      </c>
    </row>
    <row r="807" spans="1:7" ht="12.5" x14ac:dyDescent="0.25">
      <c r="A807" s="54">
        <v>488</v>
      </c>
      <c r="B807" s="35" t="s">
        <v>3095</v>
      </c>
      <c r="C807" s="35" t="s">
        <v>16</v>
      </c>
      <c r="D807" s="35" t="s">
        <v>13</v>
      </c>
      <c r="E807" s="35" t="s">
        <v>36</v>
      </c>
      <c r="F807" s="35" t="s">
        <v>3078</v>
      </c>
      <c r="G807" s="55" t="s">
        <v>3096</v>
      </c>
    </row>
    <row r="808" spans="1:7" ht="12.5" x14ac:dyDescent="0.25">
      <c r="A808" s="54">
        <v>489</v>
      </c>
      <c r="B808" s="35" t="s">
        <v>3097</v>
      </c>
      <c r="C808" s="35" t="s">
        <v>50</v>
      </c>
      <c r="D808" s="35" t="s">
        <v>31</v>
      </c>
      <c r="E808" s="35" t="s">
        <v>239</v>
      </c>
      <c r="F808" s="35" t="s">
        <v>3025</v>
      </c>
      <c r="G808" s="55" t="s">
        <v>3098</v>
      </c>
    </row>
    <row r="809" spans="1:7" ht="12.5" x14ac:dyDescent="0.25">
      <c r="A809" s="54">
        <v>490</v>
      </c>
      <c r="B809" s="35" t="s">
        <v>3099</v>
      </c>
      <c r="C809" s="35" t="s">
        <v>16</v>
      </c>
      <c r="D809" s="35" t="s">
        <v>31</v>
      </c>
      <c r="E809" s="35" t="s">
        <v>261</v>
      </c>
      <c r="F809" s="35" t="s">
        <v>3078</v>
      </c>
      <c r="G809" s="55" t="s">
        <v>3100</v>
      </c>
    </row>
    <row r="810" spans="1:7" ht="12.5" x14ac:dyDescent="0.25">
      <c r="A810" s="54">
        <v>491</v>
      </c>
      <c r="B810" s="35" t="s">
        <v>3099</v>
      </c>
      <c r="C810" s="35" t="s">
        <v>50</v>
      </c>
      <c r="D810" s="35" t="s">
        <v>31</v>
      </c>
      <c r="E810" s="35" t="s">
        <v>147</v>
      </c>
      <c r="F810" s="35" t="s">
        <v>2817</v>
      </c>
      <c r="G810" s="55" t="s">
        <v>3101</v>
      </c>
    </row>
    <row r="811" spans="1:7" ht="12.5" x14ac:dyDescent="0.25">
      <c r="A811" s="54">
        <v>492</v>
      </c>
      <c r="B811" s="35" t="s">
        <v>3102</v>
      </c>
      <c r="C811" s="35" t="s">
        <v>16</v>
      </c>
      <c r="D811" s="35" t="s">
        <v>31</v>
      </c>
      <c r="E811" s="35" t="s">
        <v>28</v>
      </c>
      <c r="F811" s="35" t="s">
        <v>3078</v>
      </c>
      <c r="G811" s="55" t="s">
        <v>3103</v>
      </c>
    </row>
    <row r="812" spans="1:7" ht="12.5" x14ac:dyDescent="0.25">
      <c r="A812" s="54">
        <v>493</v>
      </c>
      <c r="B812" s="35" t="s">
        <v>3104</v>
      </c>
      <c r="C812" s="35" t="s">
        <v>50</v>
      </c>
      <c r="D812" s="35" t="s">
        <v>41</v>
      </c>
      <c r="E812" s="35" t="s">
        <v>132</v>
      </c>
      <c r="F812" s="35" t="s">
        <v>2994</v>
      </c>
      <c r="G812" s="55" t="s">
        <v>3105</v>
      </c>
    </row>
    <row r="813" spans="1:7" ht="12.5" x14ac:dyDescent="0.25">
      <c r="A813" s="54">
        <v>494</v>
      </c>
      <c r="B813" s="35" t="s">
        <v>3106</v>
      </c>
      <c r="C813" s="35" t="s">
        <v>16</v>
      </c>
      <c r="D813" s="35" t="s">
        <v>47</v>
      </c>
      <c r="E813" s="35" t="s">
        <v>821</v>
      </c>
      <c r="F813" s="35" t="s">
        <v>3078</v>
      </c>
      <c r="G813" s="55" t="s">
        <v>3107</v>
      </c>
    </row>
    <row r="814" spans="1:7" ht="12.5" x14ac:dyDescent="0.25">
      <c r="A814" s="54">
        <v>495</v>
      </c>
      <c r="B814" s="35" t="s">
        <v>3108</v>
      </c>
      <c r="C814" s="35" t="s">
        <v>16</v>
      </c>
      <c r="D814" s="35" t="s">
        <v>47</v>
      </c>
      <c r="E814" s="35" t="s">
        <v>261</v>
      </c>
      <c r="F814" s="35" t="s">
        <v>3021</v>
      </c>
      <c r="G814" s="55" t="s">
        <v>3109</v>
      </c>
    </row>
    <row r="815" spans="1:7" ht="12.5" x14ac:dyDescent="0.25">
      <c r="A815" s="54">
        <v>496</v>
      </c>
      <c r="B815" s="35" t="s">
        <v>3108</v>
      </c>
      <c r="C815" s="35" t="s">
        <v>50</v>
      </c>
      <c r="D815" s="35" t="s">
        <v>47</v>
      </c>
      <c r="E815" s="35" t="s">
        <v>1171</v>
      </c>
      <c r="F815" s="35" t="s">
        <v>3008</v>
      </c>
      <c r="G815" s="55" t="s">
        <v>3110</v>
      </c>
    </row>
    <row r="816" spans="1:7" ht="12.5" x14ac:dyDescent="0.25">
      <c r="A816" s="54">
        <v>497</v>
      </c>
      <c r="B816" s="35" t="s">
        <v>3111</v>
      </c>
      <c r="C816" s="35" t="s">
        <v>16</v>
      </c>
      <c r="D816" s="35" t="s">
        <v>52</v>
      </c>
      <c r="E816" s="35" t="s">
        <v>53</v>
      </c>
      <c r="F816" s="35" t="s">
        <v>3078</v>
      </c>
      <c r="G816" s="55" t="s">
        <v>3112</v>
      </c>
    </row>
    <row r="817" spans="1:7" ht="12.5" x14ac:dyDescent="0.25">
      <c r="A817" s="54">
        <v>498</v>
      </c>
      <c r="B817" s="35" t="s">
        <v>3113</v>
      </c>
      <c r="C817" s="35" t="s">
        <v>16</v>
      </c>
      <c r="D817" s="35" t="s">
        <v>52</v>
      </c>
      <c r="E817" s="35" t="s">
        <v>1175</v>
      </c>
      <c r="F817" s="35" t="s">
        <v>3008</v>
      </c>
      <c r="G817" s="55" t="s">
        <v>3114</v>
      </c>
    </row>
    <row r="818" spans="1:7" ht="12.5" x14ac:dyDescent="0.25">
      <c r="A818" s="54">
        <v>499</v>
      </c>
      <c r="B818" s="35" t="s">
        <v>3115</v>
      </c>
      <c r="C818" s="35" t="s">
        <v>16</v>
      </c>
      <c r="D818" s="35" t="s">
        <v>52</v>
      </c>
      <c r="E818" s="35" t="s">
        <v>260</v>
      </c>
      <c r="F818" s="35" t="s">
        <v>3008</v>
      </c>
      <c r="G818" s="55" t="s">
        <v>3116</v>
      </c>
    </row>
    <row r="819" spans="1:7" ht="12.5" x14ac:dyDescent="0.25">
      <c r="A819" s="54">
        <v>500</v>
      </c>
      <c r="B819" s="35" t="s">
        <v>3117</v>
      </c>
      <c r="C819" s="35" t="s">
        <v>16</v>
      </c>
      <c r="D819" s="35" t="s">
        <v>13</v>
      </c>
      <c r="E819" s="35" t="s">
        <v>14</v>
      </c>
      <c r="F819" s="35" t="s">
        <v>3118</v>
      </c>
      <c r="G819" s="55" t="s">
        <v>3119</v>
      </c>
    </row>
    <row r="820" spans="1:7" ht="12.5" x14ac:dyDescent="0.25">
      <c r="A820" s="54">
        <v>501</v>
      </c>
      <c r="B820" s="35" t="s">
        <v>3120</v>
      </c>
      <c r="C820" s="35" t="s">
        <v>16</v>
      </c>
      <c r="D820" s="35" t="s">
        <v>41</v>
      </c>
      <c r="E820" s="35" t="s">
        <v>53</v>
      </c>
      <c r="F820" s="35" t="s">
        <v>3121</v>
      </c>
      <c r="G820" s="55" t="s">
        <v>3122</v>
      </c>
    </row>
    <row r="821" spans="1:7" ht="12.5" x14ac:dyDescent="0.25">
      <c r="A821" s="54">
        <v>502</v>
      </c>
      <c r="B821" s="35" t="s">
        <v>3123</v>
      </c>
      <c r="C821" s="35" t="s">
        <v>16</v>
      </c>
      <c r="D821" s="35" t="s">
        <v>47</v>
      </c>
      <c r="E821" s="35" t="s">
        <v>36</v>
      </c>
      <c r="F821" s="35" t="s">
        <v>3124</v>
      </c>
      <c r="G821" s="55" t="s">
        <v>3125</v>
      </c>
    </row>
    <row r="822" spans="1:7" ht="12.5" x14ac:dyDescent="0.25">
      <c r="A822" s="54">
        <v>503</v>
      </c>
      <c r="B822" s="35" t="s">
        <v>3126</v>
      </c>
      <c r="C822" s="35" t="s">
        <v>16</v>
      </c>
      <c r="D822" s="35" t="s">
        <v>31</v>
      </c>
      <c r="E822" s="35" t="s">
        <v>1188</v>
      </c>
      <c r="F822" s="35" t="s">
        <v>3127</v>
      </c>
      <c r="G822" s="55" t="s">
        <v>3128</v>
      </c>
    </row>
    <row r="823" spans="1:7" ht="12.5" x14ac:dyDescent="0.25">
      <c r="A823" s="54">
        <v>504</v>
      </c>
      <c r="B823" s="35" t="s">
        <v>3129</v>
      </c>
      <c r="C823" s="35" t="s">
        <v>16</v>
      </c>
      <c r="D823" s="35" t="s">
        <v>41</v>
      </c>
      <c r="E823" s="35" t="s">
        <v>19</v>
      </c>
      <c r="F823" s="35" t="s">
        <v>3118</v>
      </c>
      <c r="G823" s="55" t="s">
        <v>3130</v>
      </c>
    </row>
    <row r="824" spans="1:7" ht="12.5" x14ac:dyDescent="0.25">
      <c r="A824" s="54">
        <v>505</v>
      </c>
      <c r="B824" s="35" t="s">
        <v>3131</v>
      </c>
      <c r="C824" s="35" t="s">
        <v>16</v>
      </c>
      <c r="D824" s="35" t="s">
        <v>41</v>
      </c>
      <c r="E824" s="35" t="s">
        <v>256</v>
      </c>
      <c r="F824" s="35" t="s">
        <v>3132</v>
      </c>
      <c r="G824" s="55" t="s">
        <v>3133</v>
      </c>
    </row>
    <row r="825" spans="1:7" ht="12.5" x14ac:dyDescent="0.25">
      <c r="A825" s="54">
        <v>506</v>
      </c>
      <c r="B825" s="35" t="s">
        <v>3134</v>
      </c>
      <c r="C825" s="35" t="s">
        <v>16</v>
      </c>
      <c r="D825" s="35" t="s">
        <v>47</v>
      </c>
      <c r="E825" s="35" t="s">
        <v>19</v>
      </c>
      <c r="F825" s="35" t="s">
        <v>3135</v>
      </c>
      <c r="G825" s="55" t="s">
        <v>3136</v>
      </c>
    </row>
    <row r="826" spans="1:7" ht="12.5" x14ac:dyDescent="0.25">
      <c r="A826" s="54">
        <v>507</v>
      </c>
      <c r="B826" s="35" t="s">
        <v>3137</v>
      </c>
      <c r="C826" s="35" t="s">
        <v>16</v>
      </c>
      <c r="D826" s="35" t="s">
        <v>52</v>
      </c>
      <c r="E826" s="35" t="s">
        <v>1188</v>
      </c>
      <c r="F826" s="35" t="s">
        <v>3138</v>
      </c>
      <c r="G826" s="55" t="s">
        <v>3139</v>
      </c>
    </row>
    <row r="827" spans="1:7" ht="12.5" x14ac:dyDescent="0.25">
      <c r="A827" s="54">
        <v>508</v>
      </c>
      <c r="B827" s="35" t="s">
        <v>3131</v>
      </c>
      <c r="C827" s="35" t="s">
        <v>155</v>
      </c>
      <c r="D827" s="35" t="s">
        <v>52</v>
      </c>
      <c r="E827" s="35" t="s">
        <v>206</v>
      </c>
      <c r="F827" s="35" t="s">
        <v>3121</v>
      </c>
      <c r="G827" s="55" t="s">
        <v>3140</v>
      </c>
    </row>
    <row r="828" spans="1:7" ht="12.5" x14ac:dyDescent="0.25">
      <c r="A828" s="54">
        <v>509</v>
      </c>
      <c r="B828" s="35" t="s">
        <v>3137</v>
      </c>
      <c r="C828" s="35" t="s">
        <v>155</v>
      </c>
      <c r="D828" s="35" t="s">
        <v>195</v>
      </c>
      <c r="E828" s="35" t="s">
        <v>19</v>
      </c>
      <c r="F828" s="35" t="s">
        <v>3141</v>
      </c>
      <c r="G828" s="55" t="s">
        <v>3142</v>
      </c>
    </row>
    <row r="829" spans="1:7" ht="12.5" x14ac:dyDescent="0.25">
      <c r="A829" s="54">
        <v>510</v>
      </c>
      <c r="B829" s="35" t="s">
        <v>3126</v>
      </c>
      <c r="C829" s="35" t="s">
        <v>155</v>
      </c>
      <c r="D829" s="35" t="s">
        <v>195</v>
      </c>
      <c r="E829" s="35" t="s">
        <v>978</v>
      </c>
      <c r="F829" s="35" t="s">
        <v>3143</v>
      </c>
      <c r="G829" s="55" t="s">
        <v>3144</v>
      </c>
    </row>
    <row r="830" spans="1:7" ht="12.5" x14ac:dyDescent="0.25">
      <c r="A830" s="54">
        <v>511</v>
      </c>
      <c r="B830" s="35" t="s">
        <v>3129</v>
      </c>
      <c r="C830" s="35" t="s">
        <v>155</v>
      </c>
      <c r="D830" s="35" t="s">
        <v>195</v>
      </c>
      <c r="E830" s="35" t="s">
        <v>290</v>
      </c>
      <c r="F830" s="35" t="s">
        <v>3145</v>
      </c>
      <c r="G830" s="55" t="s">
        <v>3146</v>
      </c>
    </row>
    <row r="831" spans="1:7" ht="12.5" x14ac:dyDescent="0.25">
      <c r="A831" s="54">
        <v>512</v>
      </c>
      <c r="B831" s="35" t="s">
        <v>3134</v>
      </c>
      <c r="C831" s="35" t="s">
        <v>155</v>
      </c>
      <c r="D831" s="35" t="s">
        <v>195</v>
      </c>
      <c r="E831" s="35" t="s">
        <v>1198</v>
      </c>
      <c r="F831" s="35" t="s">
        <v>3147</v>
      </c>
      <c r="G831" s="55" t="s">
        <v>3148</v>
      </c>
    </row>
    <row r="832" spans="1:7" ht="12.5" x14ac:dyDescent="0.25">
      <c r="A832" s="54">
        <v>513</v>
      </c>
      <c r="B832" s="35" t="s">
        <v>3149</v>
      </c>
      <c r="C832" s="35" t="s">
        <v>16</v>
      </c>
      <c r="D832" s="35" t="s">
        <v>31</v>
      </c>
      <c r="E832" s="35" t="s">
        <v>281</v>
      </c>
      <c r="F832" s="35" t="s">
        <v>3118</v>
      </c>
      <c r="G832" s="55" t="s">
        <v>3150</v>
      </c>
    </row>
    <row r="833" spans="1:7" ht="12.5" x14ac:dyDescent="0.25">
      <c r="A833" s="54">
        <v>514</v>
      </c>
      <c r="B833" s="35" t="s">
        <v>3151</v>
      </c>
      <c r="C833" s="35" t="s">
        <v>16</v>
      </c>
      <c r="D833" s="35" t="s">
        <v>31</v>
      </c>
      <c r="E833" s="35" t="s">
        <v>290</v>
      </c>
      <c r="F833" s="35" t="s">
        <v>3152</v>
      </c>
      <c r="G833" s="55" t="s">
        <v>3153</v>
      </c>
    </row>
    <row r="834" spans="1:7" ht="12.5" x14ac:dyDescent="0.25">
      <c r="A834" s="54">
        <v>515</v>
      </c>
      <c r="B834" s="35" t="s">
        <v>3154</v>
      </c>
      <c r="C834" s="35" t="s">
        <v>16</v>
      </c>
      <c r="D834" s="35" t="s">
        <v>41</v>
      </c>
      <c r="E834" s="35" t="s">
        <v>19</v>
      </c>
      <c r="F834" s="35" t="s">
        <v>3155</v>
      </c>
      <c r="G834" s="55" t="s">
        <v>3156</v>
      </c>
    </row>
    <row r="835" spans="1:7" ht="12.5" x14ac:dyDescent="0.25">
      <c r="A835" s="54">
        <v>516</v>
      </c>
      <c r="B835" s="35" t="s">
        <v>3157</v>
      </c>
      <c r="C835" s="35" t="s">
        <v>16</v>
      </c>
      <c r="D835" s="35" t="s">
        <v>41</v>
      </c>
      <c r="E835" s="35" t="s">
        <v>256</v>
      </c>
      <c r="F835" s="35" t="s">
        <v>3158</v>
      </c>
      <c r="G835" s="55" t="s">
        <v>3159</v>
      </c>
    </row>
    <row r="836" spans="1:7" ht="12.5" x14ac:dyDescent="0.25">
      <c r="A836" s="54">
        <v>517</v>
      </c>
      <c r="B836" s="35" t="s">
        <v>3160</v>
      </c>
      <c r="C836" s="35" t="s">
        <v>16</v>
      </c>
      <c r="D836" s="35" t="s">
        <v>13</v>
      </c>
      <c r="E836" s="35" t="s">
        <v>14</v>
      </c>
      <c r="F836" s="35" t="s">
        <v>3161</v>
      </c>
      <c r="G836" s="55" t="s">
        <v>3162</v>
      </c>
    </row>
    <row r="837" spans="1:7" ht="12.5" x14ac:dyDescent="0.25">
      <c r="A837" s="54">
        <v>518</v>
      </c>
      <c r="B837" s="35" t="s">
        <v>3163</v>
      </c>
      <c r="C837" s="35" t="s">
        <v>16</v>
      </c>
      <c r="D837" s="35" t="s">
        <v>13</v>
      </c>
      <c r="E837" s="35" t="s">
        <v>25</v>
      </c>
      <c r="F837" s="35" t="s">
        <v>3161</v>
      </c>
      <c r="G837" s="55" t="s">
        <v>3164</v>
      </c>
    </row>
    <row r="838" spans="1:7" ht="12.5" x14ac:dyDescent="0.25">
      <c r="A838" s="54">
        <v>519</v>
      </c>
      <c r="B838" s="35" t="s">
        <v>3165</v>
      </c>
      <c r="C838" s="35" t="s">
        <v>16</v>
      </c>
      <c r="D838" s="35" t="s">
        <v>13</v>
      </c>
      <c r="E838" s="35" t="s">
        <v>64</v>
      </c>
      <c r="F838" s="35" t="s">
        <v>3161</v>
      </c>
      <c r="G838" s="55" t="s">
        <v>3166</v>
      </c>
    </row>
    <row r="839" spans="1:7" ht="12.5" x14ac:dyDescent="0.25">
      <c r="A839" s="54">
        <v>520</v>
      </c>
      <c r="B839" s="35" t="s">
        <v>3167</v>
      </c>
      <c r="C839" s="35" t="s">
        <v>16</v>
      </c>
      <c r="D839" s="35" t="s">
        <v>13</v>
      </c>
      <c r="E839" s="35" t="s">
        <v>36</v>
      </c>
      <c r="F839" s="35" t="s">
        <v>3168</v>
      </c>
      <c r="G839" s="55" t="s">
        <v>3169</v>
      </c>
    </row>
    <row r="840" spans="1:7" ht="12.5" x14ac:dyDescent="0.25">
      <c r="A840" s="54">
        <v>521</v>
      </c>
      <c r="B840" s="35" t="s">
        <v>3170</v>
      </c>
      <c r="C840" s="35" t="s">
        <v>16</v>
      </c>
      <c r="D840" s="35" t="s">
        <v>31</v>
      </c>
      <c r="E840" s="35" t="s">
        <v>14</v>
      </c>
      <c r="F840" s="35" t="s">
        <v>3161</v>
      </c>
      <c r="G840" s="55" t="s">
        <v>3171</v>
      </c>
    </row>
    <row r="841" spans="1:7" ht="12.5" x14ac:dyDescent="0.25">
      <c r="A841" s="54">
        <v>522</v>
      </c>
      <c r="B841" s="35" t="s">
        <v>3172</v>
      </c>
      <c r="C841" s="35" t="s">
        <v>16</v>
      </c>
      <c r="D841" s="35" t="s">
        <v>31</v>
      </c>
      <c r="E841" s="35" t="s">
        <v>14</v>
      </c>
      <c r="F841" s="35" t="s">
        <v>3161</v>
      </c>
      <c r="G841" s="55" t="s">
        <v>3173</v>
      </c>
    </row>
    <row r="842" spans="1:7" ht="12.5" x14ac:dyDescent="0.25">
      <c r="A842" s="54">
        <v>523</v>
      </c>
      <c r="B842" s="35" t="s">
        <v>3174</v>
      </c>
      <c r="C842" s="35" t="s">
        <v>16</v>
      </c>
      <c r="D842" s="35" t="s">
        <v>31</v>
      </c>
      <c r="E842" s="35" t="s">
        <v>25</v>
      </c>
      <c r="F842" s="35" t="s">
        <v>3118</v>
      </c>
      <c r="G842" s="55" t="s">
        <v>3175</v>
      </c>
    </row>
    <row r="843" spans="1:7" ht="12.5" x14ac:dyDescent="0.25">
      <c r="A843" s="54">
        <v>524</v>
      </c>
      <c r="B843" s="35" t="s">
        <v>3176</v>
      </c>
      <c r="C843" s="35" t="s">
        <v>16</v>
      </c>
      <c r="D843" s="35" t="s">
        <v>31</v>
      </c>
      <c r="E843" s="35" t="s">
        <v>639</v>
      </c>
      <c r="F843" s="35" t="s">
        <v>3177</v>
      </c>
      <c r="G843" s="55" t="s">
        <v>3178</v>
      </c>
    </row>
    <row r="844" spans="1:7" ht="12.5" x14ac:dyDescent="0.25">
      <c r="A844" s="54">
        <v>525</v>
      </c>
      <c r="B844" s="35" t="s">
        <v>3179</v>
      </c>
      <c r="C844" s="35" t="s">
        <v>16</v>
      </c>
      <c r="D844" s="35" t="s">
        <v>31</v>
      </c>
      <c r="E844" s="35" t="s">
        <v>64</v>
      </c>
      <c r="F844" s="35" t="s">
        <v>3143</v>
      </c>
      <c r="G844" s="55" t="s">
        <v>3180</v>
      </c>
    </row>
    <row r="845" spans="1:7" ht="12.5" x14ac:dyDescent="0.25">
      <c r="A845" s="54">
        <v>526</v>
      </c>
      <c r="B845" s="35" t="s">
        <v>3181</v>
      </c>
      <c r="C845" s="35" t="s">
        <v>16</v>
      </c>
      <c r="D845" s="35" t="s">
        <v>31</v>
      </c>
      <c r="E845" s="35" t="s">
        <v>64</v>
      </c>
      <c r="F845" s="35" t="s">
        <v>3161</v>
      </c>
      <c r="G845" s="55" t="s">
        <v>3182</v>
      </c>
    </row>
    <row r="846" spans="1:7" ht="12.5" x14ac:dyDescent="0.25">
      <c r="A846" s="54">
        <v>527</v>
      </c>
      <c r="B846" s="35" t="s">
        <v>3183</v>
      </c>
      <c r="C846" s="35" t="s">
        <v>16</v>
      </c>
      <c r="D846" s="35" t="s">
        <v>41</v>
      </c>
      <c r="E846" s="35" t="s">
        <v>14</v>
      </c>
      <c r="F846" s="35" t="s">
        <v>3152</v>
      </c>
      <c r="G846" s="55" t="s">
        <v>3184</v>
      </c>
    </row>
    <row r="847" spans="1:7" ht="12.5" x14ac:dyDescent="0.25">
      <c r="A847" s="54">
        <v>528</v>
      </c>
      <c r="B847" s="35" t="s">
        <v>3185</v>
      </c>
      <c r="C847" s="35" t="s">
        <v>16</v>
      </c>
      <c r="D847" s="35" t="s">
        <v>41</v>
      </c>
      <c r="E847" s="35" t="s">
        <v>14</v>
      </c>
      <c r="F847" s="35" t="s">
        <v>3161</v>
      </c>
      <c r="G847" s="55" t="s">
        <v>3186</v>
      </c>
    </row>
    <row r="848" spans="1:7" ht="12.5" x14ac:dyDescent="0.25">
      <c r="A848" s="54">
        <v>529</v>
      </c>
      <c r="B848" s="35" t="s">
        <v>3187</v>
      </c>
      <c r="C848" s="35" t="s">
        <v>16</v>
      </c>
      <c r="D848" s="35" t="s">
        <v>41</v>
      </c>
      <c r="E848" s="35" t="s">
        <v>64</v>
      </c>
      <c r="F848" s="35" t="s">
        <v>3132</v>
      </c>
      <c r="G848" s="55" t="s">
        <v>3188</v>
      </c>
    </row>
    <row r="849" spans="1:7" ht="12.5" x14ac:dyDescent="0.25">
      <c r="A849" s="54">
        <v>530</v>
      </c>
      <c r="B849" s="35" t="s">
        <v>3189</v>
      </c>
      <c r="C849" s="35" t="s">
        <v>16</v>
      </c>
      <c r="D849" s="35" t="s">
        <v>41</v>
      </c>
      <c r="E849" s="35" t="s">
        <v>64</v>
      </c>
      <c r="F849" s="35" t="s">
        <v>3161</v>
      </c>
      <c r="G849" s="55" t="s">
        <v>3190</v>
      </c>
    </row>
    <row r="850" spans="1:7" ht="12.5" x14ac:dyDescent="0.25">
      <c r="A850" s="54">
        <v>531</v>
      </c>
      <c r="B850" s="35" t="s">
        <v>3191</v>
      </c>
      <c r="C850" s="35" t="s">
        <v>16</v>
      </c>
      <c r="D850" s="35" t="s">
        <v>47</v>
      </c>
      <c r="E850" s="35" t="s">
        <v>14</v>
      </c>
      <c r="F850" s="35" t="s">
        <v>3161</v>
      </c>
      <c r="G850" s="55" t="s">
        <v>3192</v>
      </c>
    </row>
    <row r="851" spans="1:7" ht="12.5" x14ac:dyDescent="0.25">
      <c r="A851" s="54">
        <v>532</v>
      </c>
      <c r="B851" s="35" t="s">
        <v>3193</v>
      </c>
      <c r="C851" s="35" t="s">
        <v>16</v>
      </c>
      <c r="D851" s="35" t="s">
        <v>47</v>
      </c>
      <c r="E851" s="35" t="s">
        <v>25</v>
      </c>
      <c r="F851" s="35" t="s">
        <v>3161</v>
      </c>
      <c r="G851" s="55" t="s">
        <v>3194</v>
      </c>
    </row>
    <row r="852" spans="1:7" ht="12.5" x14ac:dyDescent="0.25">
      <c r="A852" s="54">
        <v>533</v>
      </c>
      <c r="B852" s="35" t="s">
        <v>3195</v>
      </c>
      <c r="C852" s="35" t="s">
        <v>16</v>
      </c>
      <c r="D852" s="35" t="s">
        <v>47</v>
      </c>
      <c r="E852" s="35" t="s">
        <v>25</v>
      </c>
      <c r="F852" s="35" t="s">
        <v>3124</v>
      </c>
      <c r="G852" s="55" t="s">
        <v>3196</v>
      </c>
    </row>
    <row r="853" spans="1:7" ht="12.5" x14ac:dyDescent="0.25">
      <c r="A853" s="54">
        <v>534</v>
      </c>
      <c r="B853" s="35" t="s">
        <v>3197</v>
      </c>
      <c r="C853" s="35" t="s">
        <v>16</v>
      </c>
      <c r="D853" s="35" t="s">
        <v>47</v>
      </c>
      <c r="E853" s="35" t="s">
        <v>64</v>
      </c>
      <c r="F853" s="35" t="s">
        <v>3135</v>
      </c>
      <c r="G853" s="55" t="s">
        <v>3198</v>
      </c>
    </row>
    <row r="854" spans="1:7" ht="12.5" x14ac:dyDescent="0.25">
      <c r="A854" s="54">
        <v>535</v>
      </c>
      <c r="B854" s="35" t="s">
        <v>3199</v>
      </c>
      <c r="C854" s="35" t="s">
        <v>16</v>
      </c>
      <c r="D854" s="35" t="s">
        <v>52</v>
      </c>
      <c r="E854" s="35" t="s">
        <v>14</v>
      </c>
      <c r="F854" s="35" t="s">
        <v>3161</v>
      </c>
      <c r="G854" s="55" t="s">
        <v>3200</v>
      </c>
    </row>
    <row r="855" spans="1:7" ht="12.5" x14ac:dyDescent="0.25">
      <c r="A855" s="54">
        <v>536</v>
      </c>
      <c r="B855" s="35" t="s">
        <v>3201</v>
      </c>
      <c r="C855" s="35" t="s">
        <v>16</v>
      </c>
      <c r="D855" s="35" t="s">
        <v>52</v>
      </c>
      <c r="E855" s="35" t="s">
        <v>14</v>
      </c>
      <c r="F855" s="35" t="s">
        <v>3202</v>
      </c>
      <c r="G855" s="55" t="s">
        <v>3203</v>
      </c>
    </row>
    <row r="856" spans="1:7" ht="12.5" x14ac:dyDescent="0.25">
      <c r="A856" s="54">
        <v>537</v>
      </c>
      <c r="B856" s="35" t="s">
        <v>3204</v>
      </c>
      <c r="C856" s="35" t="s">
        <v>16</v>
      </c>
      <c r="D856" s="35" t="s">
        <v>52</v>
      </c>
      <c r="E856" s="35" t="s">
        <v>235</v>
      </c>
      <c r="F856" s="35" t="s">
        <v>3121</v>
      </c>
      <c r="G856" s="55" t="s">
        <v>3205</v>
      </c>
    </row>
    <row r="857" spans="1:7" ht="12.5" x14ac:dyDescent="0.25">
      <c r="A857" s="54">
        <v>538</v>
      </c>
      <c r="B857" s="35" t="s">
        <v>3206</v>
      </c>
      <c r="C857" s="35" t="s">
        <v>16</v>
      </c>
      <c r="D857" s="35" t="s">
        <v>52</v>
      </c>
      <c r="E857" s="35" t="s">
        <v>235</v>
      </c>
      <c r="F857" s="35" t="s">
        <v>3127</v>
      </c>
      <c r="G857" s="55" t="s">
        <v>3207</v>
      </c>
    </row>
    <row r="858" spans="1:7" ht="12.5" x14ac:dyDescent="0.25">
      <c r="A858" s="54">
        <v>539</v>
      </c>
      <c r="B858" s="35" t="s">
        <v>3163</v>
      </c>
      <c r="C858" s="35" t="s">
        <v>155</v>
      </c>
      <c r="D858" s="35" t="s">
        <v>52</v>
      </c>
      <c r="E858" s="35" t="s">
        <v>198</v>
      </c>
      <c r="F858" s="35" t="s">
        <v>3208</v>
      </c>
      <c r="G858" s="55" t="s">
        <v>3209</v>
      </c>
    </row>
    <row r="859" spans="1:7" ht="12.5" x14ac:dyDescent="0.25">
      <c r="A859" s="54">
        <v>540</v>
      </c>
      <c r="B859" s="35" t="s">
        <v>3174</v>
      </c>
      <c r="C859" s="35" t="s">
        <v>155</v>
      </c>
      <c r="D859" s="35" t="s">
        <v>195</v>
      </c>
      <c r="E859" s="35" t="s">
        <v>14</v>
      </c>
      <c r="F859" s="35" t="s">
        <v>3135</v>
      </c>
      <c r="G859" s="55" t="s">
        <v>3210</v>
      </c>
    </row>
    <row r="860" spans="1:7" ht="12.5" x14ac:dyDescent="0.25">
      <c r="A860" s="54">
        <v>541</v>
      </c>
      <c r="B860" s="35" t="s">
        <v>3176</v>
      </c>
      <c r="C860" s="35" t="s">
        <v>155</v>
      </c>
      <c r="D860" s="35" t="s">
        <v>195</v>
      </c>
      <c r="E860" s="35" t="s">
        <v>14</v>
      </c>
      <c r="F860" s="35" t="s">
        <v>3177</v>
      </c>
      <c r="G860" s="55" t="s">
        <v>3211</v>
      </c>
    </row>
    <row r="861" spans="1:7" ht="12.5" x14ac:dyDescent="0.25">
      <c r="A861" s="54">
        <v>542</v>
      </c>
      <c r="B861" s="35" t="s">
        <v>3189</v>
      </c>
      <c r="C861" s="35" t="s">
        <v>155</v>
      </c>
      <c r="D861" s="35" t="s">
        <v>195</v>
      </c>
      <c r="E861" s="35" t="s">
        <v>14</v>
      </c>
      <c r="F861" s="35" t="s">
        <v>3161</v>
      </c>
      <c r="G861" s="55" t="s">
        <v>3212</v>
      </c>
    </row>
    <row r="862" spans="1:7" ht="12.5" x14ac:dyDescent="0.25">
      <c r="A862" s="54">
        <v>543</v>
      </c>
      <c r="B862" s="35" t="s">
        <v>3179</v>
      </c>
      <c r="C862" s="35" t="s">
        <v>155</v>
      </c>
      <c r="D862" s="35" t="s">
        <v>195</v>
      </c>
      <c r="E862" s="35" t="s">
        <v>25</v>
      </c>
      <c r="F862" s="35" t="s">
        <v>3147</v>
      </c>
      <c r="G862" s="55" t="s">
        <v>3213</v>
      </c>
    </row>
    <row r="863" spans="1:7" ht="12.5" x14ac:dyDescent="0.25">
      <c r="A863" s="54">
        <v>544</v>
      </c>
      <c r="B863" s="35" t="s">
        <v>3193</v>
      </c>
      <c r="C863" s="35" t="s">
        <v>155</v>
      </c>
      <c r="D863" s="35" t="s">
        <v>195</v>
      </c>
      <c r="E863" s="35" t="s">
        <v>25</v>
      </c>
      <c r="F863" s="35" t="s">
        <v>3135</v>
      </c>
      <c r="G863" s="55" t="s">
        <v>3214</v>
      </c>
    </row>
    <row r="864" spans="1:7" ht="12.5" x14ac:dyDescent="0.25">
      <c r="A864" s="54">
        <v>545</v>
      </c>
      <c r="B864" s="35" t="s">
        <v>3185</v>
      </c>
      <c r="C864" s="35" t="s">
        <v>155</v>
      </c>
      <c r="D864" s="35" t="s">
        <v>195</v>
      </c>
      <c r="E864" s="35" t="s">
        <v>25</v>
      </c>
      <c r="F864" s="35" t="s">
        <v>3138</v>
      </c>
      <c r="G864" s="55" t="s">
        <v>3215</v>
      </c>
    </row>
    <row r="865" spans="1:7" ht="12.5" x14ac:dyDescent="0.25">
      <c r="A865" s="54">
        <v>546</v>
      </c>
      <c r="B865" s="35" t="s">
        <v>3197</v>
      </c>
      <c r="C865" s="35" t="s">
        <v>155</v>
      </c>
      <c r="D865" s="35" t="s">
        <v>195</v>
      </c>
      <c r="E865" s="35" t="s">
        <v>64</v>
      </c>
      <c r="F865" s="35" t="s">
        <v>3155</v>
      </c>
      <c r="G865" s="55" t="s">
        <v>3216</v>
      </c>
    </row>
    <row r="866" spans="1:7" ht="12.5" x14ac:dyDescent="0.25">
      <c r="A866" s="54">
        <v>547</v>
      </c>
      <c r="B866" s="35" t="s">
        <v>3165</v>
      </c>
      <c r="C866" s="35" t="s">
        <v>155</v>
      </c>
      <c r="D866" s="35" t="s">
        <v>195</v>
      </c>
      <c r="E866" s="35" t="s">
        <v>64</v>
      </c>
      <c r="F866" s="35" t="s">
        <v>3161</v>
      </c>
      <c r="G866" s="55" t="s">
        <v>3217</v>
      </c>
    </row>
    <row r="867" spans="1:7" ht="12.5" x14ac:dyDescent="0.25">
      <c r="A867" s="54">
        <v>548</v>
      </c>
      <c r="B867" s="35" t="s">
        <v>3170</v>
      </c>
      <c r="C867" s="35" t="s">
        <v>155</v>
      </c>
      <c r="D867" s="35" t="s">
        <v>195</v>
      </c>
      <c r="E867" s="35" t="s">
        <v>64</v>
      </c>
      <c r="F867" s="35" t="s">
        <v>3124</v>
      </c>
      <c r="G867" s="55" t="s">
        <v>3218</v>
      </c>
    </row>
    <row r="868" spans="1:7" ht="12.5" x14ac:dyDescent="0.25">
      <c r="A868" s="54">
        <v>549</v>
      </c>
      <c r="B868" s="35" t="s">
        <v>3201</v>
      </c>
      <c r="C868" s="35" t="s">
        <v>155</v>
      </c>
      <c r="D868" s="35" t="s">
        <v>195</v>
      </c>
      <c r="E868" s="35" t="s">
        <v>64</v>
      </c>
      <c r="F868" s="35" t="s">
        <v>3135</v>
      </c>
      <c r="G868" s="55" t="s">
        <v>3219</v>
      </c>
    </row>
    <row r="869" spans="1:7" ht="12.5" x14ac:dyDescent="0.25">
      <c r="A869" s="54">
        <v>550</v>
      </c>
      <c r="B869" s="35" t="s">
        <v>3204</v>
      </c>
      <c r="C869" s="35" t="s">
        <v>155</v>
      </c>
      <c r="D869" s="35" t="s">
        <v>195</v>
      </c>
      <c r="E869" s="35" t="s">
        <v>101</v>
      </c>
      <c r="F869" s="35" t="s">
        <v>3143</v>
      </c>
      <c r="G869" s="55" t="s">
        <v>3220</v>
      </c>
    </row>
    <row r="870" spans="1:7" ht="12.5" x14ac:dyDescent="0.25">
      <c r="A870" s="54">
        <v>551</v>
      </c>
      <c r="B870" s="35" t="s">
        <v>3160</v>
      </c>
      <c r="C870" s="35" t="s">
        <v>155</v>
      </c>
      <c r="D870" s="35" t="s">
        <v>195</v>
      </c>
      <c r="E870" s="35" t="s">
        <v>101</v>
      </c>
      <c r="F870" s="35" t="s">
        <v>3124</v>
      </c>
      <c r="G870" s="55" t="s">
        <v>3221</v>
      </c>
    </row>
    <row r="871" spans="1:7" ht="12.5" x14ac:dyDescent="0.25">
      <c r="A871" s="54">
        <v>552</v>
      </c>
      <c r="B871" s="35" t="s">
        <v>3191</v>
      </c>
      <c r="C871" s="35" t="s">
        <v>155</v>
      </c>
      <c r="D871" s="35" t="s">
        <v>195</v>
      </c>
      <c r="E871" s="35" t="s">
        <v>101</v>
      </c>
      <c r="F871" s="35" t="s">
        <v>3161</v>
      </c>
      <c r="G871" s="55" t="s">
        <v>3222</v>
      </c>
    </row>
    <row r="872" spans="1:7" ht="12.5" x14ac:dyDescent="0.25">
      <c r="A872" s="54">
        <v>553</v>
      </c>
      <c r="B872" s="35" t="s">
        <v>3172</v>
      </c>
      <c r="C872" s="35" t="s">
        <v>155</v>
      </c>
      <c r="D872" s="35" t="s">
        <v>195</v>
      </c>
      <c r="E872" s="35" t="s">
        <v>101</v>
      </c>
      <c r="F872" s="35" t="s">
        <v>3223</v>
      </c>
      <c r="G872" s="55" t="s">
        <v>3224</v>
      </c>
    </row>
    <row r="873" spans="1:7" ht="12.5" x14ac:dyDescent="0.25">
      <c r="A873" s="54">
        <v>554</v>
      </c>
      <c r="B873" s="35" t="s">
        <v>3225</v>
      </c>
      <c r="C873" s="35" t="s">
        <v>16</v>
      </c>
      <c r="D873" s="35" t="s">
        <v>13</v>
      </c>
      <c r="E873" s="35" t="s">
        <v>53</v>
      </c>
      <c r="F873" s="35" t="s">
        <v>3158</v>
      </c>
      <c r="G873" s="55" t="s">
        <v>3226</v>
      </c>
    </row>
    <row r="874" spans="1:7" ht="12.5" x14ac:dyDescent="0.25">
      <c r="A874" s="54">
        <v>555</v>
      </c>
      <c r="B874" s="35" t="s">
        <v>3227</v>
      </c>
      <c r="C874" s="35" t="s">
        <v>16</v>
      </c>
      <c r="D874" s="35" t="s">
        <v>13</v>
      </c>
      <c r="E874" s="35" t="s">
        <v>255</v>
      </c>
      <c r="F874" s="35" t="s">
        <v>3158</v>
      </c>
      <c r="G874" s="55" t="s">
        <v>3228</v>
      </c>
    </row>
    <row r="875" spans="1:7" ht="12.5" x14ac:dyDescent="0.25">
      <c r="A875" s="54">
        <v>556</v>
      </c>
      <c r="B875" s="35" t="s">
        <v>3229</v>
      </c>
      <c r="C875" s="35" t="s">
        <v>16</v>
      </c>
      <c r="D875" s="35" t="s">
        <v>31</v>
      </c>
      <c r="E875" s="35" t="s">
        <v>53</v>
      </c>
      <c r="F875" s="35" t="s">
        <v>3158</v>
      </c>
      <c r="G875" s="55" t="s">
        <v>3230</v>
      </c>
    </row>
    <row r="876" spans="1:7" ht="12.5" x14ac:dyDescent="0.25">
      <c r="A876" s="54">
        <v>557</v>
      </c>
      <c r="B876" s="35" t="s">
        <v>3231</v>
      </c>
      <c r="C876" s="35" t="s">
        <v>155</v>
      </c>
      <c r="D876" s="35" t="s">
        <v>31</v>
      </c>
      <c r="E876" s="35" t="s">
        <v>53</v>
      </c>
      <c r="F876" s="35" t="s">
        <v>3155</v>
      </c>
      <c r="G876" s="55" t="s">
        <v>3232</v>
      </c>
    </row>
    <row r="877" spans="1:7" ht="12.5" x14ac:dyDescent="0.25">
      <c r="A877" s="54">
        <v>558</v>
      </c>
      <c r="B877" s="35" t="s">
        <v>3233</v>
      </c>
      <c r="C877" s="35" t="s">
        <v>16</v>
      </c>
      <c r="D877" s="35" t="s">
        <v>31</v>
      </c>
      <c r="E877" s="35" t="s">
        <v>255</v>
      </c>
      <c r="F877" s="35" t="s">
        <v>3155</v>
      </c>
      <c r="G877" s="55" t="s">
        <v>3234</v>
      </c>
    </row>
    <row r="878" spans="1:7" ht="12.5" x14ac:dyDescent="0.25">
      <c r="A878" s="54">
        <v>559</v>
      </c>
      <c r="B878" s="35" t="s">
        <v>3235</v>
      </c>
      <c r="C878" s="35" t="s">
        <v>16</v>
      </c>
      <c r="D878" s="35" t="s">
        <v>31</v>
      </c>
      <c r="E878" s="35" t="s">
        <v>28</v>
      </c>
      <c r="F878" s="35" t="s">
        <v>3158</v>
      </c>
      <c r="G878" s="55" t="s">
        <v>3236</v>
      </c>
    </row>
    <row r="879" spans="1:7" ht="12.5" x14ac:dyDescent="0.25">
      <c r="A879" s="54">
        <v>560</v>
      </c>
      <c r="B879" s="35" t="s">
        <v>3237</v>
      </c>
      <c r="C879" s="35" t="s">
        <v>16</v>
      </c>
      <c r="D879" s="35" t="s">
        <v>41</v>
      </c>
      <c r="E879" s="35" t="s">
        <v>821</v>
      </c>
      <c r="F879" s="35" t="s">
        <v>3127</v>
      </c>
      <c r="G879" s="55" t="s">
        <v>3238</v>
      </c>
    </row>
    <row r="880" spans="1:7" ht="12.5" x14ac:dyDescent="0.25">
      <c r="A880" s="54">
        <v>561</v>
      </c>
      <c r="B880" s="35" t="s">
        <v>3239</v>
      </c>
      <c r="C880" s="35" t="s">
        <v>16</v>
      </c>
      <c r="D880" s="35" t="s">
        <v>41</v>
      </c>
      <c r="E880" s="35" t="s">
        <v>64</v>
      </c>
      <c r="F880" s="35" t="s">
        <v>3158</v>
      </c>
      <c r="G880" s="55" t="s">
        <v>3240</v>
      </c>
    </row>
    <row r="881" spans="1:7" ht="12.5" x14ac:dyDescent="0.25">
      <c r="A881" s="54">
        <v>562</v>
      </c>
      <c r="B881" s="35" t="s">
        <v>3239</v>
      </c>
      <c r="C881" s="35" t="s">
        <v>155</v>
      </c>
      <c r="D881" s="35" t="s">
        <v>41</v>
      </c>
      <c r="E881" s="35" t="s">
        <v>101</v>
      </c>
      <c r="F881" s="35" t="s">
        <v>3158</v>
      </c>
      <c r="G881" s="55" t="s">
        <v>3241</v>
      </c>
    </row>
    <row r="882" spans="1:7" ht="12.5" x14ac:dyDescent="0.25">
      <c r="A882" s="54">
        <v>563</v>
      </c>
      <c r="B882" s="35" t="s">
        <v>3229</v>
      </c>
      <c r="C882" s="35" t="s">
        <v>155</v>
      </c>
      <c r="D882" s="35" t="s">
        <v>47</v>
      </c>
      <c r="E882" s="35" t="s">
        <v>53</v>
      </c>
      <c r="F882" s="35" t="s">
        <v>3158</v>
      </c>
      <c r="G882" s="55" t="s">
        <v>3242</v>
      </c>
    </row>
    <row r="883" spans="1:7" ht="12.5" x14ac:dyDescent="0.25">
      <c r="A883" s="54">
        <v>564</v>
      </c>
      <c r="B883" s="35" t="s">
        <v>3231</v>
      </c>
      <c r="C883" s="35" t="s">
        <v>16</v>
      </c>
      <c r="D883" s="35" t="s">
        <v>47</v>
      </c>
      <c r="E883" s="35" t="s">
        <v>53</v>
      </c>
      <c r="F883" s="35" t="s">
        <v>3155</v>
      </c>
      <c r="G883" s="55" t="s">
        <v>3243</v>
      </c>
    </row>
    <row r="884" spans="1:7" ht="12.5" x14ac:dyDescent="0.25">
      <c r="A884" s="54">
        <v>565</v>
      </c>
      <c r="B884" s="35" t="s">
        <v>3244</v>
      </c>
      <c r="C884" s="35" t="s">
        <v>16</v>
      </c>
      <c r="D884" s="35" t="s">
        <v>47</v>
      </c>
      <c r="E884" s="35" t="s">
        <v>255</v>
      </c>
      <c r="F884" s="35" t="s">
        <v>3158</v>
      </c>
      <c r="G884" s="55" t="s">
        <v>3245</v>
      </c>
    </row>
    <row r="885" spans="1:7" ht="12.5" x14ac:dyDescent="0.25">
      <c r="A885" s="54">
        <v>566</v>
      </c>
      <c r="B885" s="35" t="s">
        <v>3246</v>
      </c>
      <c r="C885" s="35" t="s">
        <v>16</v>
      </c>
      <c r="D885" s="35" t="s">
        <v>47</v>
      </c>
      <c r="E885" s="35" t="s">
        <v>28</v>
      </c>
      <c r="F885" s="35" t="s">
        <v>3158</v>
      </c>
      <c r="G885" s="55" t="s">
        <v>3247</v>
      </c>
    </row>
    <row r="886" spans="1:7" ht="12.5" x14ac:dyDescent="0.25">
      <c r="A886" s="54">
        <v>567</v>
      </c>
      <c r="B886" s="35" t="s">
        <v>3248</v>
      </c>
      <c r="C886" s="35" t="s">
        <v>16</v>
      </c>
      <c r="D886" s="35" t="s">
        <v>52</v>
      </c>
      <c r="E886" s="35" t="s">
        <v>53</v>
      </c>
      <c r="F886" s="35" t="s">
        <v>3147</v>
      </c>
      <c r="G886" s="55" t="s">
        <v>3249</v>
      </c>
    </row>
    <row r="887" spans="1:7" ht="12.5" x14ac:dyDescent="0.25">
      <c r="A887" s="54">
        <v>568</v>
      </c>
      <c r="B887" s="35" t="s">
        <v>3250</v>
      </c>
      <c r="C887" s="35" t="s">
        <v>16</v>
      </c>
      <c r="D887" s="35" t="s">
        <v>52</v>
      </c>
      <c r="E887" s="35" t="s">
        <v>260</v>
      </c>
      <c r="F887" s="35" t="s">
        <v>3158</v>
      </c>
      <c r="G887" s="55" t="s">
        <v>3251</v>
      </c>
    </row>
    <row r="888" spans="1:7" ht="12.5" x14ac:dyDescent="0.25">
      <c r="A888" s="54">
        <v>569</v>
      </c>
      <c r="B888" s="35" t="s">
        <v>3252</v>
      </c>
      <c r="C888" s="35" t="s">
        <v>16</v>
      </c>
      <c r="D888" s="35" t="s">
        <v>31</v>
      </c>
      <c r="E888" s="35" t="s">
        <v>276</v>
      </c>
      <c r="F888" s="35" t="s">
        <v>3253</v>
      </c>
      <c r="G888" s="55" t="s">
        <v>3254</v>
      </c>
    </row>
    <row r="889" spans="1:7" ht="12.5" x14ac:dyDescent="0.25">
      <c r="A889" s="54">
        <v>570</v>
      </c>
      <c r="B889" s="35" t="s">
        <v>3255</v>
      </c>
      <c r="C889" s="35" t="s">
        <v>16</v>
      </c>
      <c r="D889" s="35" t="s">
        <v>41</v>
      </c>
      <c r="E889" s="35" t="s">
        <v>53</v>
      </c>
      <c r="F889" s="35" t="s">
        <v>3147</v>
      </c>
      <c r="G889" s="55" t="s">
        <v>3256</v>
      </c>
    </row>
    <row r="890" spans="1:7" ht="12.5" x14ac:dyDescent="0.25">
      <c r="A890" s="54">
        <v>571</v>
      </c>
      <c r="B890" s="35" t="s">
        <v>3257</v>
      </c>
      <c r="C890" s="35" t="s">
        <v>16</v>
      </c>
      <c r="D890" s="35" t="s">
        <v>47</v>
      </c>
      <c r="E890" s="35" t="s">
        <v>276</v>
      </c>
      <c r="F890" s="35" t="s">
        <v>3258</v>
      </c>
      <c r="G890" s="55" t="s">
        <v>3259</v>
      </c>
    </row>
    <row r="891" spans="1:7" ht="12.5" x14ac:dyDescent="0.25">
      <c r="A891" s="54">
        <v>572</v>
      </c>
      <c r="B891" s="35" t="s">
        <v>3260</v>
      </c>
      <c r="C891" s="35" t="s">
        <v>155</v>
      </c>
      <c r="D891" s="35" t="s">
        <v>31</v>
      </c>
      <c r="E891" s="35" t="s">
        <v>289</v>
      </c>
      <c r="F891" s="35" t="s">
        <v>3124</v>
      </c>
      <c r="G891" s="55" t="s">
        <v>3261</v>
      </c>
    </row>
    <row r="892" spans="1:7" ht="12.5" x14ac:dyDescent="0.25">
      <c r="A892" s="54">
        <v>573</v>
      </c>
      <c r="B892" s="35" t="s">
        <v>3262</v>
      </c>
      <c r="C892" s="35" t="s">
        <v>16</v>
      </c>
      <c r="D892" s="35" t="s">
        <v>31</v>
      </c>
      <c r="E892" s="35" t="s">
        <v>259</v>
      </c>
      <c r="F892" s="35" t="s">
        <v>3161</v>
      </c>
      <c r="G892" s="55" t="s">
        <v>3263</v>
      </c>
    </row>
    <row r="893" spans="1:7" ht="12.5" x14ac:dyDescent="0.25">
      <c r="A893" s="54">
        <v>574</v>
      </c>
      <c r="B893" s="35" t="s">
        <v>3264</v>
      </c>
      <c r="C893" s="35" t="s">
        <v>16</v>
      </c>
      <c r="D893" s="35" t="s">
        <v>41</v>
      </c>
      <c r="E893" s="35" t="s">
        <v>1278</v>
      </c>
      <c r="F893" s="35" t="s">
        <v>3124</v>
      </c>
      <c r="G893" s="55" t="s">
        <v>3265</v>
      </c>
    </row>
    <row r="894" spans="1:7" ht="12.5" x14ac:dyDescent="0.25">
      <c r="A894" s="54">
        <v>575</v>
      </c>
      <c r="B894" s="35" t="s">
        <v>3266</v>
      </c>
      <c r="C894" s="35" t="s">
        <v>16</v>
      </c>
      <c r="D894" s="35" t="s">
        <v>41</v>
      </c>
      <c r="E894" s="35" t="s">
        <v>259</v>
      </c>
      <c r="F894" s="35" t="s">
        <v>3208</v>
      </c>
      <c r="G894" s="55" t="s">
        <v>3267</v>
      </c>
    </row>
    <row r="895" spans="1:7" ht="12.5" x14ac:dyDescent="0.25">
      <c r="A895" s="54">
        <v>576</v>
      </c>
      <c r="B895" s="35" t="s">
        <v>3268</v>
      </c>
      <c r="C895" s="35" t="s">
        <v>16</v>
      </c>
      <c r="D895" s="35" t="s">
        <v>47</v>
      </c>
      <c r="E895" s="35" t="s">
        <v>797</v>
      </c>
      <c r="F895" s="35" t="s">
        <v>3121</v>
      </c>
      <c r="G895" s="55" t="s">
        <v>3269</v>
      </c>
    </row>
    <row r="896" spans="1:7" ht="12.5" x14ac:dyDescent="0.25">
      <c r="A896" s="54">
        <v>577</v>
      </c>
      <c r="B896" s="35" t="s">
        <v>3270</v>
      </c>
      <c r="C896" s="35" t="s">
        <v>16</v>
      </c>
      <c r="D896" s="35" t="s">
        <v>47</v>
      </c>
      <c r="E896" s="35" t="s">
        <v>36</v>
      </c>
      <c r="F896" s="35" t="s">
        <v>3177</v>
      </c>
      <c r="G896" s="55" t="s">
        <v>3271</v>
      </c>
    </row>
    <row r="897" spans="1:7" ht="12.5" x14ac:dyDescent="0.25">
      <c r="A897" s="54">
        <v>578</v>
      </c>
      <c r="B897" s="35" t="s">
        <v>3272</v>
      </c>
      <c r="C897" s="35" t="s">
        <v>16</v>
      </c>
      <c r="D897" s="35" t="s">
        <v>52</v>
      </c>
      <c r="E897" s="35" t="s">
        <v>1284</v>
      </c>
      <c r="F897" s="35" t="s">
        <v>3168</v>
      </c>
      <c r="G897" s="55" t="s">
        <v>3273</v>
      </c>
    </row>
    <row r="898" spans="1:7" ht="12.5" x14ac:dyDescent="0.25">
      <c r="A898" s="54">
        <v>579</v>
      </c>
      <c r="B898" s="35" t="s">
        <v>3274</v>
      </c>
      <c r="C898" s="35" t="s">
        <v>16</v>
      </c>
      <c r="D898" s="35" t="s">
        <v>13</v>
      </c>
      <c r="E898" s="35" t="s">
        <v>14</v>
      </c>
      <c r="F898" s="35" t="s">
        <v>3132</v>
      </c>
      <c r="G898" s="55" t="s">
        <v>3275</v>
      </c>
    </row>
    <row r="899" spans="1:7" ht="12.5" x14ac:dyDescent="0.25">
      <c r="A899" s="54">
        <v>580</v>
      </c>
      <c r="B899" s="35" t="s">
        <v>3276</v>
      </c>
      <c r="C899" s="35" t="s">
        <v>16</v>
      </c>
      <c r="D899" s="35" t="s">
        <v>13</v>
      </c>
      <c r="E899" s="35" t="s">
        <v>14</v>
      </c>
      <c r="F899" s="35" t="s">
        <v>3121</v>
      </c>
      <c r="G899" s="55" t="s">
        <v>3277</v>
      </c>
    </row>
    <row r="900" spans="1:7" ht="12.5" x14ac:dyDescent="0.25">
      <c r="A900" s="54">
        <v>581</v>
      </c>
      <c r="B900" s="35" t="s">
        <v>3276</v>
      </c>
      <c r="C900" s="35" t="s">
        <v>50</v>
      </c>
      <c r="D900" s="35" t="s">
        <v>13</v>
      </c>
      <c r="E900" s="35" t="s">
        <v>283</v>
      </c>
      <c r="F900" s="35" t="s">
        <v>3223</v>
      </c>
      <c r="G900" s="55" t="s">
        <v>3278</v>
      </c>
    </row>
    <row r="901" spans="1:7" ht="12.5" x14ac:dyDescent="0.25">
      <c r="A901" s="54">
        <v>582</v>
      </c>
      <c r="B901" s="35" t="s">
        <v>3279</v>
      </c>
      <c r="C901" s="35" t="s">
        <v>16</v>
      </c>
      <c r="D901" s="35" t="s">
        <v>13</v>
      </c>
      <c r="E901" s="35" t="s">
        <v>639</v>
      </c>
      <c r="F901" s="35" t="s">
        <v>3141</v>
      </c>
      <c r="G901" s="55" t="s">
        <v>3280</v>
      </c>
    </row>
    <row r="902" spans="1:7" ht="12.5" x14ac:dyDescent="0.25">
      <c r="A902" s="54">
        <v>583</v>
      </c>
      <c r="B902" s="35" t="s">
        <v>3281</v>
      </c>
      <c r="C902" s="35" t="s">
        <v>16</v>
      </c>
      <c r="D902" s="35" t="s">
        <v>31</v>
      </c>
      <c r="E902" s="35" t="s">
        <v>19</v>
      </c>
      <c r="F902" s="35" t="s">
        <v>3282</v>
      </c>
      <c r="G902" s="55" t="s">
        <v>3283</v>
      </c>
    </row>
    <row r="903" spans="1:7" ht="12.5" x14ac:dyDescent="0.25">
      <c r="A903" s="54">
        <v>584</v>
      </c>
      <c r="B903" s="35" t="s">
        <v>3281</v>
      </c>
      <c r="C903" s="35" t="s">
        <v>50</v>
      </c>
      <c r="D903" s="35" t="s">
        <v>31</v>
      </c>
      <c r="E903" s="35" t="s">
        <v>281</v>
      </c>
      <c r="F903" s="35" t="s">
        <v>3202</v>
      </c>
      <c r="G903" s="55" t="s">
        <v>3284</v>
      </c>
    </row>
    <row r="904" spans="1:7" ht="12.5" x14ac:dyDescent="0.25">
      <c r="A904" s="54">
        <v>585</v>
      </c>
      <c r="B904" s="35" t="s">
        <v>3285</v>
      </c>
      <c r="C904" s="35" t="s">
        <v>16</v>
      </c>
      <c r="D904" s="35" t="s">
        <v>41</v>
      </c>
      <c r="E904" s="35" t="s">
        <v>19</v>
      </c>
      <c r="F904" s="35" t="s">
        <v>3135</v>
      </c>
      <c r="G904" s="55" t="s">
        <v>3286</v>
      </c>
    </row>
    <row r="905" spans="1:7" ht="12.5" x14ac:dyDescent="0.25">
      <c r="A905" s="54">
        <v>586</v>
      </c>
      <c r="B905" s="35" t="s">
        <v>3287</v>
      </c>
      <c r="C905" s="35" t="s">
        <v>16</v>
      </c>
      <c r="D905" s="35" t="s">
        <v>41</v>
      </c>
      <c r="E905" s="35" t="s">
        <v>23</v>
      </c>
      <c r="F905" s="35" t="s">
        <v>3135</v>
      </c>
      <c r="G905" s="55" t="s">
        <v>3288</v>
      </c>
    </row>
    <row r="906" spans="1:7" ht="12.5" x14ac:dyDescent="0.25">
      <c r="A906" s="54">
        <v>587</v>
      </c>
      <c r="B906" s="35" t="s">
        <v>3289</v>
      </c>
      <c r="C906" s="35" t="s">
        <v>16</v>
      </c>
      <c r="D906" s="35" t="s">
        <v>41</v>
      </c>
      <c r="E906" s="35" t="s">
        <v>64</v>
      </c>
      <c r="F906" s="35" t="s">
        <v>3208</v>
      </c>
      <c r="G906" s="55" t="s">
        <v>3290</v>
      </c>
    </row>
    <row r="907" spans="1:7" ht="12.5" x14ac:dyDescent="0.25">
      <c r="A907" s="54">
        <v>588</v>
      </c>
      <c r="B907" s="35" t="s">
        <v>3289</v>
      </c>
      <c r="C907" s="35" t="s">
        <v>50</v>
      </c>
      <c r="D907" s="35" t="s">
        <v>41</v>
      </c>
      <c r="E907" s="35" t="s">
        <v>560</v>
      </c>
      <c r="F907" s="35" t="s">
        <v>3152</v>
      </c>
      <c r="G907" s="55" t="s">
        <v>3291</v>
      </c>
    </row>
    <row r="908" spans="1:7" ht="12.5" x14ac:dyDescent="0.25">
      <c r="A908" s="54">
        <v>589</v>
      </c>
      <c r="B908" s="35" t="s">
        <v>3292</v>
      </c>
      <c r="C908" s="35" t="s">
        <v>16</v>
      </c>
      <c r="D908" s="35" t="s">
        <v>47</v>
      </c>
      <c r="E908" s="35" t="s">
        <v>14</v>
      </c>
      <c r="F908" s="35" t="s">
        <v>3155</v>
      </c>
      <c r="G908" s="55" t="s">
        <v>3293</v>
      </c>
    </row>
    <row r="909" spans="1:7" ht="12.5" x14ac:dyDescent="0.25">
      <c r="A909" s="54">
        <v>590</v>
      </c>
      <c r="B909" s="35" t="s">
        <v>3292</v>
      </c>
      <c r="C909" s="35" t="s">
        <v>50</v>
      </c>
      <c r="D909" s="35" t="s">
        <v>47</v>
      </c>
      <c r="E909" s="35" t="s">
        <v>283</v>
      </c>
      <c r="F909" s="35" t="s">
        <v>3258</v>
      </c>
      <c r="G909" s="55" t="s">
        <v>3294</v>
      </c>
    </row>
    <row r="910" spans="1:7" ht="12.5" x14ac:dyDescent="0.25">
      <c r="A910" s="54">
        <v>591</v>
      </c>
      <c r="B910" s="35" t="s">
        <v>3295</v>
      </c>
      <c r="C910" s="35" t="s">
        <v>16</v>
      </c>
      <c r="D910" s="35" t="s">
        <v>52</v>
      </c>
      <c r="E910" s="35" t="s">
        <v>14</v>
      </c>
      <c r="F910" s="35" t="s">
        <v>3138</v>
      </c>
      <c r="G910" s="55" t="s">
        <v>3296</v>
      </c>
    </row>
    <row r="911" spans="1:7" ht="12.5" x14ac:dyDescent="0.25">
      <c r="A911" s="54">
        <v>592</v>
      </c>
      <c r="B911" s="35" t="s">
        <v>3295</v>
      </c>
      <c r="C911" s="35" t="s">
        <v>50</v>
      </c>
      <c r="D911" s="35" t="s">
        <v>52</v>
      </c>
      <c r="E911" s="35" t="s">
        <v>1300</v>
      </c>
      <c r="F911" s="35" t="s">
        <v>3132</v>
      </c>
      <c r="G911" s="55" t="s">
        <v>3297</v>
      </c>
    </row>
    <row r="912" spans="1:7" ht="12.5" x14ac:dyDescent="0.25">
      <c r="A912" s="54">
        <v>593</v>
      </c>
      <c r="B912" s="35" t="s">
        <v>3298</v>
      </c>
      <c r="C912" s="35" t="s">
        <v>16</v>
      </c>
      <c r="D912" s="35" t="s">
        <v>13</v>
      </c>
      <c r="E912" s="35" t="s">
        <v>14</v>
      </c>
      <c r="F912" s="35" t="s">
        <v>3299</v>
      </c>
      <c r="G912" s="55" t="s">
        <v>3300</v>
      </c>
    </row>
    <row r="913" spans="1:7" ht="12.5" x14ac:dyDescent="0.25">
      <c r="A913" s="54">
        <v>594</v>
      </c>
      <c r="B913" s="35" t="s">
        <v>3301</v>
      </c>
      <c r="C913" s="35" t="s">
        <v>16</v>
      </c>
      <c r="D913" s="35" t="s">
        <v>13</v>
      </c>
      <c r="E913" s="35" t="s">
        <v>64</v>
      </c>
      <c r="F913" s="35" t="s">
        <v>3299</v>
      </c>
      <c r="G913" s="55" t="s">
        <v>3302</v>
      </c>
    </row>
    <row r="914" spans="1:7" ht="12.5" x14ac:dyDescent="0.25">
      <c r="A914" s="54">
        <v>595</v>
      </c>
      <c r="B914" s="35" t="s">
        <v>3303</v>
      </c>
      <c r="C914" s="35" t="s">
        <v>16</v>
      </c>
      <c r="D914" s="35" t="s">
        <v>31</v>
      </c>
      <c r="E914" s="35" t="s">
        <v>261</v>
      </c>
      <c r="F914" s="35" t="s">
        <v>3304</v>
      </c>
      <c r="G914" s="55" t="s">
        <v>3305</v>
      </c>
    </row>
    <row r="915" spans="1:7" ht="12.5" x14ac:dyDescent="0.25">
      <c r="A915" s="54">
        <v>596</v>
      </c>
      <c r="B915" s="35" t="s">
        <v>3303</v>
      </c>
      <c r="C915" s="35" t="s">
        <v>50</v>
      </c>
      <c r="D915" s="35" t="s">
        <v>31</v>
      </c>
      <c r="E915" s="35" t="s">
        <v>423</v>
      </c>
      <c r="F915" s="35" t="s">
        <v>3299</v>
      </c>
      <c r="G915" s="55" t="s">
        <v>3306</v>
      </c>
    </row>
    <row r="916" spans="1:7" ht="12.5" x14ac:dyDescent="0.25">
      <c r="A916" s="54">
        <v>597</v>
      </c>
      <c r="B916" s="35" t="s">
        <v>3307</v>
      </c>
      <c r="C916" s="35" t="s">
        <v>16</v>
      </c>
      <c r="D916" s="35" t="s">
        <v>31</v>
      </c>
      <c r="E916" s="35" t="s">
        <v>64</v>
      </c>
      <c r="F916" s="35" t="s">
        <v>3299</v>
      </c>
      <c r="G916" s="55" t="s">
        <v>3308</v>
      </c>
    </row>
    <row r="917" spans="1:7" ht="12.5" x14ac:dyDescent="0.25">
      <c r="A917" s="54">
        <v>598</v>
      </c>
      <c r="B917" s="35" t="s">
        <v>3309</v>
      </c>
      <c r="C917" s="35" t="s">
        <v>16</v>
      </c>
      <c r="D917" s="35" t="s">
        <v>41</v>
      </c>
      <c r="E917" s="35" t="s">
        <v>642</v>
      </c>
      <c r="F917" s="35" t="s">
        <v>3299</v>
      </c>
      <c r="G917" s="55" t="s">
        <v>3310</v>
      </c>
    </row>
    <row r="918" spans="1:7" ht="12.5" x14ac:dyDescent="0.25">
      <c r="A918" s="54">
        <v>599</v>
      </c>
      <c r="B918" s="35" t="s">
        <v>3309</v>
      </c>
      <c r="C918" s="35" t="s">
        <v>50</v>
      </c>
      <c r="D918" s="35" t="s">
        <v>41</v>
      </c>
      <c r="E918" s="35" t="s">
        <v>49</v>
      </c>
      <c r="F918" s="35" t="s">
        <v>3299</v>
      </c>
      <c r="G918" s="55" t="s">
        <v>3311</v>
      </c>
    </row>
    <row r="919" spans="1:7" ht="12.5" x14ac:dyDescent="0.25">
      <c r="A919" s="54">
        <v>600</v>
      </c>
      <c r="B919" s="35" t="s">
        <v>3312</v>
      </c>
      <c r="C919" s="35" t="s">
        <v>16</v>
      </c>
      <c r="D919" s="35" t="s">
        <v>47</v>
      </c>
      <c r="E919" s="35" t="s">
        <v>268</v>
      </c>
      <c r="F919" s="35" t="s">
        <v>3299</v>
      </c>
      <c r="G919" s="55" t="s">
        <v>3313</v>
      </c>
    </row>
    <row r="920" spans="1:7" ht="12.5" x14ac:dyDescent="0.25">
      <c r="A920" s="54">
        <v>601</v>
      </c>
      <c r="B920" s="35" t="s">
        <v>3312</v>
      </c>
      <c r="C920" s="35" t="s">
        <v>50</v>
      </c>
      <c r="D920" s="35" t="s">
        <v>47</v>
      </c>
      <c r="E920" s="35" t="s">
        <v>147</v>
      </c>
      <c r="F920" s="35" t="s">
        <v>3299</v>
      </c>
      <c r="G920" s="55" t="s">
        <v>3314</v>
      </c>
    </row>
    <row r="921" spans="1:7" ht="12.5" x14ac:dyDescent="0.25">
      <c r="A921" s="54">
        <v>602</v>
      </c>
      <c r="B921" s="35" t="s">
        <v>3315</v>
      </c>
      <c r="C921" s="35" t="s">
        <v>16</v>
      </c>
      <c r="D921" s="35" t="s">
        <v>52</v>
      </c>
      <c r="E921" s="35" t="s">
        <v>1317</v>
      </c>
      <c r="F921" s="35" t="s">
        <v>3299</v>
      </c>
      <c r="G921" s="55" t="s">
        <v>3316</v>
      </c>
    </row>
    <row r="922" spans="1:7" ht="12.5" x14ac:dyDescent="0.25">
      <c r="A922" s="54">
        <v>603</v>
      </c>
      <c r="B922" s="35" t="s">
        <v>3315</v>
      </c>
      <c r="C922" s="35" t="s">
        <v>50</v>
      </c>
      <c r="D922" s="35" t="s">
        <v>52</v>
      </c>
      <c r="E922" s="35" t="s">
        <v>1320</v>
      </c>
      <c r="F922" s="35" t="s">
        <v>3299</v>
      </c>
      <c r="G922" s="55" t="s">
        <v>3317</v>
      </c>
    </row>
    <row r="923" spans="1:7" ht="12.5" x14ac:dyDescent="0.25">
      <c r="A923" s="54">
        <v>604</v>
      </c>
      <c r="B923" s="35" t="s">
        <v>3318</v>
      </c>
      <c r="C923" s="35" t="s">
        <v>16</v>
      </c>
      <c r="D923" s="35" t="s">
        <v>52</v>
      </c>
      <c r="E923" s="35" t="s">
        <v>64</v>
      </c>
      <c r="F923" s="35" t="s">
        <v>3299</v>
      </c>
      <c r="G923" s="55" t="s">
        <v>3319</v>
      </c>
    </row>
    <row r="924" spans="1:7" ht="12.5" x14ac:dyDescent="0.25">
      <c r="A924" s="54">
        <v>605</v>
      </c>
      <c r="B924" s="35" t="s">
        <v>3320</v>
      </c>
      <c r="C924" s="35" t="s">
        <v>16</v>
      </c>
      <c r="D924" s="35" t="s">
        <v>13</v>
      </c>
      <c r="E924" s="35" t="s">
        <v>639</v>
      </c>
      <c r="F924" s="35" t="s">
        <v>3321</v>
      </c>
      <c r="G924" s="55" t="s">
        <v>3322</v>
      </c>
    </row>
    <row r="925" spans="1:7" ht="12.5" x14ac:dyDescent="0.25">
      <c r="A925" s="54">
        <v>606</v>
      </c>
      <c r="B925" s="35" t="s">
        <v>3320</v>
      </c>
      <c r="C925" s="35" t="s">
        <v>50</v>
      </c>
      <c r="D925" s="35" t="s">
        <v>13</v>
      </c>
      <c r="E925" s="35" t="s">
        <v>1328</v>
      </c>
      <c r="F925" s="35" t="s">
        <v>3321</v>
      </c>
      <c r="G925" s="55" t="s">
        <v>3323</v>
      </c>
    </row>
    <row r="926" spans="1:7" ht="12.5" x14ac:dyDescent="0.25">
      <c r="A926" s="54">
        <v>607</v>
      </c>
      <c r="B926" s="35" t="s">
        <v>3324</v>
      </c>
      <c r="C926" s="35" t="s">
        <v>16</v>
      </c>
      <c r="D926" s="35" t="s">
        <v>31</v>
      </c>
      <c r="E926" s="35" t="s">
        <v>261</v>
      </c>
      <c r="F926" s="35" t="s">
        <v>3321</v>
      </c>
      <c r="G926" s="55" t="s">
        <v>3325</v>
      </c>
    </row>
    <row r="927" spans="1:7" ht="12.5" x14ac:dyDescent="0.25">
      <c r="A927" s="54">
        <v>608</v>
      </c>
      <c r="B927" s="35" t="s">
        <v>3324</v>
      </c>
      <c r="C927" s="35" t="s">
        <v>50</v>
      </c>
      <c r="D927" s="35" t="s">
        <v>31</v>
      </c>
      <c r="E927" s="35" t="s">
        <v>1331</v>
      </c>
      <c r="F927" s="35" t="s">
        <v>3321</v>
      </c>
      <c r="G927" s="55" t="s">
        <v>3326</v>
      </c>
    </row>
    <row r="928" spans="1:7" ht="12.5" x14ac:dyDescent="0.25">
      <c r="A928" s="54">
        <v>609</v>
      </c>
      <c r="B928" s="35" t="s">
        <v>3327</v>
      </c>
      <c r="C928" s="35" t="s">
        <v>16</v>
      </c>
      <c r="D928" s="35" t="s">
        <v>31</v>
      </c>
      <c r="E928" s="35" t="s">
        <v>64</v>
      </c>
      <c r="F928" s="35" t="s">
        <v>3321</v>
      </c>
      <c r="G928" s="55" t="s">
        <v>3328</v>
      </c>
    </row>
    <row r="929" spans="1:7" ht="12.5" x14ac:dyDescent="0.25">
      <c r="A929" s="54">
        <v>610</v>
      </c>
      <c r="B929" s="35" t="s">
        <v>3329</v>
      </c>
      <c r="C929" s="35" t="s">
        <v>16</v>
      </c>
      <c r="D929" s="35" t="s">
        <v>41</v>
      </c>
      <c r="E929" s="35" t="s">
        <v>14</v>
      </c>
      <c r="F929" s="35" t="s">
        <v>3321</v>
      </c>
      <c r="G929" s="55" t="s">
        <v>3330</v>
      </c>
    </row>
    <row r="930" spans="1:7" ht="12.5" x14ac:dyDescent="0.25">
      <c r="A930" s="54">
        <v>611</v>
      </c>
      <c r="B930" s="35" t="s">
        <v>3331</v>
      </c>
      <c r="C930" s="35" t="s">
        <v>16</v>
      </c>
      <c r="D930" s="35" t="s">
        <v>41</v>
      </c>
      <c r="E930" s="35" t="s">
        <v>64</v>
      </c>
      <c r="F930" s="35" t="s">
        <v>3321</v>
      </c>
      <c r="G930" s="55" t="s">
        <v>3332</v>
      </c>
    </row>
    <row r="931" spans="1:7" ht="12.5" x14ac:dyDescent="0.25">
      <c r="A931" s="54">
        <v>612</v>
      </c>
      <c r="B931" s="35" t="s">
        <v>3333</v>
      </c>
      <c r="C931" s="35" t="s">
        <v>16</v>
      </c>
      <c r="D931" s="35" t="s">
        <v>47</v>
      </c>
      <c r="E931" s="35" t="s">
        <v>221</v>
      </c>
      <c r="F931" s="35" t="s">
        <v>3321</v>
      </c>
      <c r="G931" s="55" t="s">
        <v>3334</v>
      </c>
    </row>
    <row r="932" spans="1:7" ht="12.5" x14ac:dyDescent="0.25">
      <c r="A932" s="54">
        <v>613</v>
      </c>
      <c r="B932" s="35" t="s">
        <v>3333</v>
      </c>
      <c r="C932" s="35" t="s">
        <v>50</v>
      </c>
      <c r="D932" s="35" t="s">
        <v>47</v>
      </c>
      <c r="E932" s="35" t="s">
        <v>758</v>
      </c>
      <c r="F932" s="35" t="s">
        <v>3335</v>
      </c>
      <c r="G932" s="55" t="s">
        <v>3336</v>
      </c>
    </row>
    <row r="933" spans="1:7" ht="12.5" x14ac:dyDescent="0.25">
      <c r="A933" s="54">
        <v>614</v>
      </c>
      <c r="B933" s="35" t="s">
        <v>3337</v>
      </c>
      <c r="C933" s="35" t="s">
        <v>16</v>
      </c>
      <c r="D933" s="35" t="s">
        <v>52</v>
      </c>
      <c r="E933" s="35" t="s">
        <v>261</v>
      </c>
      <c r="F933" s="35" t="s">
        <v>3321</v>
      </c>
      <c r="G933" s="55" t="s">
        <v>3338</v>
      </c>
    </row>
    <row r="934" spans="1:7" ht="12.5" x14ac:dyDescent="0.25">
      <c r="A934" s="54">
        <v>615</v>
      </c>
      <c r="B934" s="35" t="s">
        <v>3339</v>
      </c>
      <c r="C934" s="35" t="s">
        <v>16</v>
      </c>
      <c r="D934" s="35" t="s">
        <v>52</v>
      </c>
      <c r="E934" s="35" t="s">
        <v>191</v>
      </c>
      <c r="F934" s="35" t="s">
        <v>3321</v>
      </c>
      <c r="G934" s="55" t="s">
        <v>3340</v>
      </c>
    </row>
    <row r="935" spans="1:7" ht="12.5" x14ac:dyDescent="0.25">
      <c r="A935" s="54">
        <v>616</v>
      </c>
      <c r="B935" s="35" t="s">
        <v>3337</v>
      </c>
      <c r="C935" s="35" t="s">
        <v>50</v>
      </c>
      <c r="D935" s="35" t="s">
        <v>52</v>
      </c>
      <c r="E935" s="35" t="s">
        <v>1328</v>
      </c>
      <c r="F935" s="35" t="s">
        <v>3321</v>
      </c>
      <c r="G935" s="55" t="s">
        <v>3341</v>
      </c>
    </row>
    <row r="936" spans="1:7" ht="12.5" x14ac:dyDescent="0.25">
      <c r="A936" s="54">
        <v>617</v>
      </c>
      <c r="B936" s="35" t="s">
        <v>3342</v>
      </c>
      <c r="C936" s="35" t="s">
        <v>16</v>
      </c>
      <c r="D936" s="35" t="s">
        <v>31</v>
      </c>
      <c r="E936" s="35" t="s">
        <v>14</v>
      </c>
      <c r="F936" s="35" t="s">
        <v>3343</v>
      </c>
      <c r="G936" s="55" t="s">
        <v>3344</v>
      </c>
    </row>
    <row r="937" spans="1:7" ht="12.5" x14ac:dyDescent="0.25">
      <c r="A937" s="54">
        <v>618</v>
      </c>
      <c r="B937" s="35" t="s">
        <v>3342</v>
      </c>
      <c r="C937" s="35" t="s">
        <v>50</v>
      </c>
      <c r="D937" s="35" t="s">
        <v>31</v>
      </c>
      <c r="E937" s="35" t="s">
        <v>1347</v>
      </c>
      <c r="F937" s="35" t="s">
        <v>3345</v>
      </c>
      <c r="G937" s="55" t="s">
        <v>3346</v>
      </c>
    </row>
    <row r="938" spans="1:7" ht="12.5" x14ac:dyDescent="0.25">
      <c r="A938" s="54">
        <v>619</v>
      </c>
      <c r="B938" s="35" t="s">
        <v>3347</v>
      </c>
      <c r="C938" s="35" t="s">
        <v>16</v>
      </c>
      <c r="D938" s="35" t="s">
        <v>31</v>
      </c>
      <c r="E938" s="35" t="s">
        <v>64</v>
      </c>
      <c r="F938" s="35" t="s">
        <v>3348</v>
      </c>
      <c r="G938" s="55" t="s">
        <v>3349</v>
      </c>
    </row>
    <row r="939" spans="1:7" ht="12.5" x14ac:dyDescent="0.25">
      <c r="A939" s="54">
        <v>620</v>
      </c>
      <c r="B939" s="35" t="s">
        <v>3347</v>
      </c>
      <c r="C939" s="35" t="s">
        <v>50</v>
      </c>
      <c r="D939" s="35" t="s">
        <v>31</v>
      </c>
      <c r="E939" s="35" t="s">
        <v>1351</v>
      </c>
      <c r="F939" s="35" t="s">
        <v>3350</v>
      </c>
      <c r="G939" s="55" t="s">
        <v>3351</v>
      </c>
    </row>
    <row r="940" spans="1:7" ht="12.5" x14ac:dyDescent="0.25">
      <c r="A940" s="54">
        <v>621</v>
      </c>
      <c r="B940" s="35" t="s">
        <v>3352</v>
      </c>
      <c r="C940" s="35" t="s">
        <v>16</v>
      </c>
      <c r="D940" s="35" t="s">
        <v>41</v>
      </c>
      <c r="E940" s="35" t="s">
        <v>1352</v>
      </c>
      <c r="F940" s="35" t="s">
        <v>3353</v>
      </c>
      <c r="G940" s="55" t="s">
        <v>3354</v>
      </c>
    </row>
    <row r="941" spans="1:7" ht="12.5" x14ac:dyDescent="0.25">
      <c r="A941" s="54">
        <v>622</v>
      </c>
      <c r="B941" s="35" t="s">
        <v>3352</v>
      </c>
      <c r="C941" s="35" t="s">
        <v>50</v>
      </c>
      <c r="D941" s="35" t="s">
        <v>41</v>
      </c>
      <c r="E941" s="35" t="s">
        <v>1351</v>
      </c>
      <c r="F941" s="35" t="s">
        <v>3355</v>
      </c>
      <c r="G941" s="55" t="s">
        <v>3356</v>
      </c>
    </row>
    <row r="942" spans="1:7" ht="12.5" x14ac:dyDescent="0.25">
      <c r="A942" s="54">
        <v>623</v>
      </c>
      <c r="B942" s="35" t="s">
        <v>3357</v>
      </c>
      <c r="C942" s="35" t="s">
        <v>16</v>
      </c>
      <c r="D942" s="35" t="s">
        <v>47</v>
      </c>
      <c r="E942" s="35" t="s">
        <v>1355</v>
      </c>
      <c r="F942" s="35" t="s">
        <v>3358</v>
      </c>
      <c r="G942" s="55" t="s">
        <v>3359</v>
      </c>
    </row>
    <row r="943" spans="1:7" ht="12.5" x14ac:dyDescent="0.25">
      <c r="A943" s="54">
        <v>624</v>
      </c>
      <c r="B943" s="35" t="s">
        <v>3357</v>
      </c>
      <c r="C943" s="35" t="s">
        <v>50</v>
      </c>
      <c r="D943" s="35" t="s">
        <v>47</v>
      </c>
      <c r="E943" s="35" t="s">
        <v>1357</v>
      </c>
      <c r="F943" s="35" t="s">
        <v>3360</v>
      </c>
      <c r="G943" s="55" t="s">
        <v>3361</v>
      </c>
    </row>
    <row r="944" spans="1:7" ht="12.5" x14ac:dyDescent="0.25">
      <c r="A944" s="54">
        <v>625</v>
      </c>
      <c r="B944" s="35" t="s">
        <v>3362</v>
      </c>
      <c r="C944" s="35" t="s">
        <v>16</v>
      </c>
      <c r="D944" s="35" t="s">
        <v>13</v>
      </c>
      <c r="E944" s="35" t="s">
        <v>53</v>
      </c>
      <c r="F944" s="35" t="s">
        <v>3363</v>
      </c>
      <c r="G944" s="55" t="s">
        <v>3364</v>
      </c>
    </row>
    <row r="945" spans="1:7" ht="12.5" x14ac:dyDescent="0.25">
      <c r="A945" s="54">
        <v>626</v>
      </c>
      <c r="B945" s="35" t="s">
        <v>3365</v>
      </c>
      <c r="C945" s="35" t="s">
        <v>16</v>
      </c>
      <c r="D945" s="35" t="s">
        <v>13</v>
      </c>
      <c r="E945" s="35" t="s">
        <v>36</v>
      </c>
      <c r="F945" s="35" t="s">
        <v>3366</v>
      </c>
      <c r="G945" s="55" t="s">
        <v>3367</v>
      </c>
    </row>
    <row r="946" spans="1:7" ht="12.5" x14ac:dyDescent="0.25">
      <c r="A946" s="54">
        <v>627</v>
      </c>
      <c r="B946" s="35" t="s">
        <v>3368</v>
      </c>
      <c r="C946" s="35" t="s">
        <v>16</v>
      </c>
      <c r="D946" s="35" t="s">
        <v>13</v>
      </c>
      <c r="E946" s="35" t="s">
        <v>36</v>
      </c>
      <c r="F946" s="35" t="s">
        <v>3369</v>
      </c>
      <c r="G946" s="55" t="s">
        <v>3370</v>
      </c>
    </row>
    <row r="947" spans="1:7" ht="12.5" x14ac:dyDescent="0.25">
      <c r="A947" s="54">
        <v>628</v>
      </c>
      <c r="B947" s="35" t="s">
        <v>3371</v>
      </c>
      <c r="C947" s="35" t="s">
        <v>16</v>
      </c>
      <c r="D947" s="35" t="s">
        <v>31</v>
      </c>
      <c r="E947" s="35" t="s">
        <v>53</v>
      </c>
      <c r="F947" s="35" t="s">
        <v>3372</v>
      </c>
      <c r="G947" s="55" t="s">
        <v>3373</v>
      </c>
    </row>
    <row r="948" spans="1:7" ht="12.5" x14ac:dyDescent="0.25">
      <c r="A948" s="54">
        <v>629</v>
      </c>
      <c r="B948" s="35" t="s">
        <v>3374</v>
      </c>
      <c r="C948" s="35" t="s">
        <v>16</v>
      </c>
      <c r="D948" s="35" t="s">
        <v>31</v>
      </c>
      <c r="E948" s="35" t="s">
        <v>639</v>
      </c>
      <c r="F948" s="35" t="s">
        <v>3375</v>
      </c>
      <c r="G948" s="55" t="s">
        <v>3376</v>
      </c>
    </row>
    <row r="949" spans="1:7" ht="12.5" x14ac:dyDescent="0.25">
      <c r="A949" s="54">
        <v>630</v>
      </c>
      <c r="B949" s="35" t="s">
        <v>3377</v>
      </c>
      <c r="C949" s="35" t="s">
        <v>16</v>
      </c>
      <c r="D949" s="35" t="s">
        <v>31</v>
      </c>
      <c r="E949" s="35" t="s">
        <v>64</v>
      </c>
      <c r="F949" s="35" t="s">
        <v>3378</v>
      </c>
      <c r="G949" s="55" t="s">
        <v>3379</v>
      </c>
    </row>
    <row r="950" spans="1:7" ht="12.5" x14ac:dyDescent="0.25">
      <c r="A950" s="54">
        <v>631</v>
      </c>
      <c r="B950" s="35" t="s">
        <v>3380</v>
      </c>
      <c r="C950" s="35" t="s">
        <v>16</v>
      </c>
      <c r="D950" s="35" t="s">
        <v>31</v>
      </c>
      <c r="E950" s="35" t="s">
        <v>64</v>
      </c>
      <c r="F950" s="35" t="s">
        <v>3350</v>
      </c>
      <c r="G950" s="55" t="s">
        <v>3381</v>
      </c>
    </row>
    <row r="951" spans="1:7" ht="12.5" x14ac:dyDescent="0.25">
      <c r="A951" s="54">
        <v>632</v>
      </c>
      <c r="B951" s="35" t="s">
        <v>3382</v>
      </c>
      <c r="C951" s="35" t="s">
        <v>16</v>
      </c>
      <c r="D951" s="35" t="s">
        <v>41</v>
      </c>
      <c r="E951" s="35" t="s">
        <v>14</v>
      </c>
      <c r="F951" s="35" t="s">
        <v>3383</v>
      </c>
      <c r="G951" s="55" t="s">
        <v>3384</v>
      </c>
    </row>
    <row r="952" spans="1:7" ht="12.5" x14ac:dyDescent="0.25">
      <c r="A952" s="54">
        <v>633</v>
      </c>
      <c r="B952" s="35" t="s">
        <v>3385</v>
      </c>
      <c r="C952" s="35" t="s">
        <v>16</v>
      </c>
      <c r="D952" s="35" t="s">
        <v>41</v>
      </c>
      <c r="E952" s="35" t="s">
        <v>14</v>
      </c>
      <c r="F952" s="35" t="s">
        <v>3386</v>
      </c>
      <c r="G952" s="55" t="s">
        <v>3387</v>
      </c>
    </row>
    <row r="953" spans="1:7" ht="12.5" x14ac:dyDescent="0.25">
      <c r="A953" s="54">
        <v>634</v>
      </c>
      <c r="B953" s="35" t="s">
        <v>3377</v>
      </c>
      <c r="C953" s="35" t="s">
        <v>50</v>
      </c>
      <c r="D953" s="35" t="s">
        <v>41</v>
      </c>
      <c r="E953" s="35" t="s">
        <v>64</v>
      </c>
      <c r="F953" s="35" t="s">
        <v>3375</v>
      </c>
      <c r="G953" s="55" t="s">
        <v>3388</v>
      </c>
    </row>
    <row r="954" spans="1:7" ht="12.5" x14ac:dyDescent="0.25">
      <c r="A954" s="54">
        <v>635</v>
      </c>
      <c r="B954" s="35" t="s">
        <v>3389</v>
      </c>
      <c r="C954" s="35" t="s">
        <v>16</v>
      </c>
      <c r="D954" s="35" t="s">
        <v>41</v>
      </c>
      <c r="E954" s="35" t="s">
        <v>64</v>
      </c>
      <c r="F954" s="35" t="s">
        <v>3350</v>
      </c>
      <c r="G954" s="55" t="s">
        <v>3390</v>
      </c>
    </row>
    <row r="955" spans="1:7" ht="12.5" x14ac:dyDescent="0.25">
      <c r="A955" s="54">
        <v>636</v>
      </c>
      <c r="B955" s="35" t="s">
        <v>3389</v>
      </c>
      <c r="C955" s="35" t="s">
        <v>50</v>
      </c>
      <c r="D955" s="35" t="s">
        <v>41</v>
      </c>
      <c r="E955" s="35" t="s">
        <v>1378</v>
      </c>
      <c r="F955" s="35" t="s">
        <v>3350</v>
      </c>
      <c r="G955" s="55" t="s">
        <v>3391</v>
      </c>
    </row>
    <row r="956" spans="1:7" ht="12.5" x14ac:dyDescent="0.25">
      <c r="A956" s="54">
        <v>637</v>
      </c>
      <c r="B956" s="35" t="s">
        <v>3385</v>
      </c>
      <c r="C956" s="35" t="s">
        <v>144</v>
      </c>
      <c r="D956" s="35" t="s">
        <v>47</v>
      </c>
      <c r="E956" s="35" t="s">
        <v>14</v>
      </c>
      <c r="F956" s="35" t="s">
        <v>3392</v>
      </c>
      <c r="G956" s="55" t="s">
        <v>3393</v>
      </c>
    </row>
    <row r="957" spans="1:7" ht="12.5" x14ac:dyDescent="0.25">
      <c r="A957" s="54">
        <v>638</v>
      </c>
      <c r="B957" s="35" t="s">
        <v>3394</v>
      </c>
      <c r="C957" s="35" t="s">
        <v>16</v>
      </c>
      <c r="D957" s="35" t="s">
        <v>47</v>
      </c>
      <c r="E957" s="35" t="s">
        <v>14</v>
      </c>
      <c r="F957" s="35" t="s">
        <v>3395</v>
      </c>
      <c r="G957" s="55" t="s">
        <v>3396</v>
      </c>
    </row>
    <row r="958" spans="1:7" ht="12.5" x14ac:dyDescent="0.25">
      <c r="A958" s="54">
        <v>639</v>
      </c>
      <c r="B958" s="35" t="s">
        <v>3397</v>
      </c>
      <c r="C958" s="35" t="s">
        <v>16</v>
      </c>
      <c r="D958" s="35" t="s">
        <v>47</v>
      </c>
      <c r="E958" s="35" t="s">
        <v>36</v>
      </c>
      <c r="F958" s="35" t="s">
        <v>3398</v>
      </c>
      <c r="G958" s="55" t="s">
        <v>3399</v>
      </c>
    </row>
    <row r="959" spans="1:7" ht="12.5" x14ac:dyDescent="0.25">
      <c r="A959" s="54">
        <v>640</v>
      </c>
      <c r="B959" s="35" t="s">
        <v>3400</v>
      </c>
      <c r="C959" s="35" t="s">
        <v>16</v>
      </c>
      <c r="D959" s="35" t="s">
        <v>13</v>
      </c>
      <c r="E959" s="35" t="s">
        <v>14</v>
      </c>
      <c r="F959" s="35" t="s">
        <v>3401</v>
      </c>
      <c r="G959" s="55" t="s">
        <v>3402</v>
      </c>
    </row>
    <row r="960" spans="1:7" ht="12.5" x14ac:dyDescent="0.25">
      <c r="A960" s="54">
        <v>641</v>
      </c>
      <c r="B960" s="35" t="s">
        <v>3403</v>
      </c>
      <c r="C960" s="35" t="s">
        <v>16</v>
      </c>
      <c r="D960" s="35" t="s">
        <v>13</v>
      </c>
      <c r="E960" s="35" t="s">
        <v>14</v>
      </c>
      <c r="F960" s="35" t="s">
        <v>2739</v>
      </c>
      <c r="G960" s="55" t="s">
        <v>3404</v>
      </c>
    </row>
    <row r="961" spans="1:7" ht="12.5" x14ac:dyDescent="0.25">
      <c r="A961" s="54">
        <v>642</v>
      </c>
      <c r="B961" s="35" t="s">
        <v>3405</v>
      </c>
      <c r="C961" s="35" t="s">
        <v>16</v>
      </c>
      <c r="D961" s="35" t="s">
        <v>13</v>
      </c>
      <c r="E961" s="35" t="s">
        <v>235</v>
      </c>
      <c r="F961" s="35" t="s">
        <v>3406</v>
      </c>
      <c r="G961" s="55" t="s">
        <v>3407</v>
      </c>
    </row>
    <row r="962" spans="1:7" ht="12.5" x14ac:dyDescent="0.25">
      <c r="A962" s="54">
        <v>643</v>
      </c>
      <c r="B962" s="35" t="s">
        <v>3408</v>
      </c>
      <c r="C962" s="35" t="s">
        <v>16</v>
      </c>
      <c r="D962" s="35" t="s">
        <v>13</v>
      </c>
      <c r="E962" s="35" t="s">
        <v>235</v>
      </c>
      <c r="F962" s="35" t="s">
        <v>3409</v>
      </c>
      <c r="G962" s="55" t="s">
        <v>3410</v>
      </c>
    </row>
    <row r="963" spans="1:7" ht="12.5" x14ac:dyDescent="0.25">
      <c r="A963" s="54">
        <v>644</v>
      </c>
      <c r="B963" s="35" t="s">
        <v>3411</v>
      </c>
      <c r="C963" s="35" t="s">
        <v>16</v>
      </c>
      <c r="D963" s="35" t="s">
        <v>13</v>
      </c>
      <c r="E963" s="35" t="s">
        <v>235</v>
      </c>
      <c r="F963" s="35" t="s">
        <v>3412</v>
      </c>
      <c r="G963" s="55" t="s">
        <v>3413</v>
      </c>
    </row>
    <row r="964" spans="1:7" ht="12.5" x14ac:dyDescent="0.25">
      <c r="A964" s="54">
        <v>645</v>
      </c>
      <c r="B964" s="35" t="s">
        <v>3414</v>
      </c>
      <c r="C964" s="35" t="s">
        <v>16</v>
      </c>
      <c r="D964" s="35" t="s">
        <v>13</v>
      </c>
      <c r="E964" s="35" t="s">
        <v>235</v>
      </c>
      <c r="F964" s="35" t="s">
        <v>3409</v>
      </c>
      <c r="G964" s="55" t="s">
        <v>3415</v>
      </c>
    </row>
    <row r="965" spans="1:7" ht="12.5" x14ac:dyDescent="0.25">
      <c r="A965" s="54">
        <v>646</v>
      </c>
      <c r="B965" s="35" t="s">
        <v>3416</v>
      </c>
      <c r="C965" s="35" t="s">
        <v>155</v>
      </c>
      <c r="D965" s="35" t="s">
        <v>13</v>
      </c>
      <c r="E965" s="35" t="s">
        <v>198</v>
      </c>
      <c r="F965" s="35" t="s">
        <v>3417</v>
      </c>
      <c r="G965" s="55" t="s">
        <v>3418</v>
      </c>
    </row>
    <row r="966" spans="1:7" ht="12.5" x14ac:dyDescent="0.25">
      <c r="A966" s="54">
        <v>647</v>
      </c>
      <c r="B966" s="35" t="s">
        <v>3419</v>
      </c>
      <c r="C966" s="35" t="s">
        <v>155</v>
      </c>
      <c r="D966" s="35" t="s">
        <v>13</v>
      </c>
      <c r="E966" s="35" t="s">
        <v>198</v>
      </c>
      <c r="F966" s="35" t="s">
        <v>2505</v>
      </c>
      <c r="G966" s="55" t="s">
        <v>3420</v>
      </c>
    </row>
    <row r="967" spans="1:7" ht="12.5" x14ac:dyDescent="0.25">
      <c r="A967" s="54">
        <v>648</v>
      </c>
      <c r="B967" s="35" t="s">
        <v>3400</v>
      </c>
      <c r="C967" s="35" t="s">
        <v>155</v>
      </c>
      <c r="D967" s="35" t="s">
        <v>13</v>
      </c>
      <c r="E967" s="35" t="s">
        <v>1396</v>
      </c>
      <c r="F967" s="35" t="s">
        <v>3421</v>
      </c>
      <c r="G967" s="55" t="s">
        <v>3422</v>
      </c>
    </row>
    <row r="968" spans="1:7" ht="12.5" x14ac:dyDescent="0.25">
      <c r="A968" s="54">
        <v>649</v>
      </c>
      <c r="B968" s="35" t="s">
        <v>3423</v>
      </c>
      <c r="C968" s="35" t="s">
        <v>155</v>
      </c>
      <c r="D968" s="35" t="s">
        <v>13</v>
      </c>
      <c r="E968" s="35" t="s">
        <v>1396</v>
      </c>
      <c r="F968" s="35" t="s">
        <v>3424</v>
      </c>
      <c r="G968" s="55" t="s">
        <v>3425</v>
      </c>
    </row>
    <row r="969" spans="1:7" ht="12.5" x14ac:dyDescent="0.25">
      <c r="A969" s="54">
        <v>650</v>
      </c>
      <c r="B969" s="35" t="s">
        <v>3426</v>
      </c>
      <c r="C969" s="35" t="s">
        <v>16</v>
      </c>
      <c r="D969" s="35" t="s">
        <v>31</v>
      </c>
      <c r="E969" s="35" t="s">
        <v>14</v>
      </c>
      <c r="F969" s="35" t="s">
        <v>3427</v>
      </c>
      <c r="G969" s="55" t="s">
        <v>3428</v>
      </c>
    </row>
    <row r="970" spans="1:7" ht="12.5" x14ac:dyDescent="0.25">
      <c r="A970" s="54">
        <v>651</v>
      </c>
      <c r="B970" s="35" t="s">
        <v>3416</v>
      </c>
      <c r="C970" s="35" t="s">
        <v>16</v>
      </c>
      <c r="D970" s="35" t="s">
        <v>31</v>
      </c>
      <c r="E970" s="35" t="s">
        <v>235</v>
      </c>
      <c r="F970" s="35" t="s">
        <v>3429</v>
      </c>
      <c r="G970" s="55" t="s">
        <v>3430</v>
      </c>
    </row>
    <row r="971" spans="1:7" ht="12.5" x14ac:dyDescent="0.25">
      <c r="A971" s="54">
        <v>652</v>
      </c>
      <c r="B971" s="35" t="s">
        <v>3431</v>
      </c>
      <c r="C971" s="35" t="s">
        <v>155</v>
      </c>
      <c r="D971" s="35" t="s">
        <v>31</v>
      </c>
      <c r="E971" s="35" t="s">
        <v>198</v>
      </c>
      <c r="F971" s="35" t="s">
        <v>3432</v>
      </c>
      <c r="G971" s="55" t="s">
        <v>3433</v>
      </c>
    </row>
    <row r="972" spans="1:7" ht="12.5" x14ac:dyDescent="0.25">
      <c r="A972" s="54">
        <v>653</v>
      </c>
      <c r="B972" s="35" t="s">
        <v>3434</v>
      </c>
      <c r="C972" s="35" t="s">
        <v>16</v>
      </c>
      <c r="D972" s="35" t="s">
        <v>31</v>
      </c>
      <c r="E972" s="35" t="s">
        <v>198</v>
      </c>
      <c r="F972" s="35" t="s">
        <v>3435</v>
      </c>
      <c r="G972" s="55" t="s">
        <v>3436</v>
      </c>
    </row>
    <row r="973" spans="1:7" ht="12.5" x14ac:dyDescent="0.25">
      <c r="A973" s="54">
        <v>654</v>
      </c>
      <c r="B973" s="35" t="s">
        <v>3437</v>
      </c>
      <c r="C973" s="35" t="s">
        <v>16</v>
      </c>
      <c r="D973" s="35" t="s">
        <v>31</v>
      </c>
      <c r="E973" s="35" t="s">
        <v>198</v>
      </c>
      <c r="F973" s="35" t="s">
        <v>3438</v>
      </c>
      <c r="G973" s="55" t="s">
        <v>3439</v>
      </c>
    </row>
    <row r="974" spans="1:7" ht="12.5" x14ac:dyDescent="0.25">
      <c r="A974" s="54">
        <v>655</v>
      </c>
      <c r="B974" s="35" t="s">
        <v>3440</v>
      </c>
      <c r="C974" s="35" t="s">
        <v>16</v>
      </c>
      <c r="D974" s="35" t="s">
        <v>31</v>
      </c>
      <c r="E974" s="35" t="s">
        <v>198</v>
      </c>
      <c r="F974" s="35" t="s">
        <v>2625</v>
      </c>
      <c r="G974" s="55" t="s">
        <v>3441</v>
      </c>
    </row>
    <row r="975" spans="1:7" ht="12.5" x14ac:dyDescent="0.25">
      <c r="A975" s="54">
        <v>656</v>
      </c>
      <c r="B975" s="35" t="s">
        <v>3442</v>
      </c>
      <c r="C975" s="35" t="s">
        <v>155</v>
      </c>
      <c r="D975" s="35" t="s">
        <v>31</v>
      </c>
      <c r="E975" s="35" t="s">
        <v>1396</v>
      </c>
      <c r="F975" s="35" t="s">
        <v>3443</v>
      </c>
      <c r="G975" s="55" t="s">
        <v>3444</v>
      </c>
    </row>
    <row r="976" spans="1:7" ht="12.5" x14ac:dyDescent="0.25">
      <c r="A976" s="54">
        <v>657</v>
      </c>
      <c r="B976" s="35" t="s">
        <v>3423</v>
      </c>
      <c r="C976" s="35" t="s">
        <v>16</v>
      </c>
      <c r="D976" s="35" t="s">
        <v>41</v>
      </c>
      <c r="E976" s="35" t="s">
        <v>235</v>
      </c>
      <c r="F976" s="35" t="s">
        <v>3445</v>
      </c>
      <c r="G976" s="55" t="s">
        <v>3446</v>
      </c>
    </row>
    <row r="977" spans="1:7" ht="12.5" x14ac:dyDescent="0.25">
      <c r="A977" s="54">
        <v>658</v>
      </c>
      <c r="B977" s="35" t="s">
        <v>3447</v>
      </c>
      <c r="C977" s="35" t="s">
        <v>16</v>
      </c>
      <c r="D977" s="35" t="s">
        <v>41</v>
      </c>
      <c r="E977" s="35" t="s">
        <v>235</v>
      </c>
      <c r="F977" s="35" t="s">
        <v>3448</v>
      </c>
      <c r="G977" s="55" t="s">
        <v>3449</v>
      </c>
    </row>
    <row r="978" spans="1:7" ht="12.5" x14ac:dyDescent="0.25">
      <c r="A978" s="54">
        <v>659</v>
      </c>
      <c r="B978" s="35" t="s">
        <v>3405</v>
      </c>
      <c r="C978" s="35" t="s">
        <v>155</v>
      </c>
      <c r="D978" s="35" t="s">
        <v>41</v>
      </c>
      <c r="E978" s="35" t="s">
        <v>198</v>
      </c>
      <c r="F978" s="35" t="s">
        <v>3450</v>
      </c>
      <c r="G978" s="55" t="s">
        <v>3451</v>
      </c>
    </row>
    <row r="979" spans="1:7" ht="12.5" x14ac:dyDescent="0.25">
      <c r="A979" s="54">
        <v>660</v>
      </c>
      <c r="B979" s="35" t="s">
        <v>3452</v>
      </c>
      <c r="C979" s="35" t="s">
        <v>16</v>
      </c>
      <c r="D979" s="35" t="s">
        <v>41</v>
      </c>
      <c r="E979" s="35" t="s">
        <v>198</v>
      </c>
      <c r="F979" s="35" t="s">
        <v>3453</v>
      </c>
      <c r="G979" s="55" t="s">
        <v>3454</v>
      </c>
    </row>
    <row r="980" spans="1:7" ht="12.5" x14ac:dyDescent="0.25">
      <c r="A980" s="54">
        <v>661</v>
      </c>
      <c r="B980" s="35" t="s">
        <v>3455</v>
      </c>
      <c r="C980" s="35" t="s">
        <v>16</v>
      </c>
      <c r="D980" s="35" t="s">
        <v>41</v>
      </c>
      <c r="E980" s="35" t="s">
        <v>198</v>
      </c>
      <c r="F980" s="35" t="s">
        <v>3456</v>
      </c>
      <c r="G980" s="55" t="s">
        <v>3457</v>
      </c>
    </row>
    <row r="981" spans="1:7" ht="12.5" x14ac:dyDescent="0.25">
      <c r="A981" s="54">
        <v>662</v>
      </c>
      <c r="B981" s="35" t="s">
        <v>3458</v>
      </c>
      <c r="C981" s="35" t="s">
        <v>16</v>
      </c>
      <c r="D981" s="35" t="s">
        <v>41</v>
      </c>
      <c r="E981" s="35" t="s">
        <v>198</v>
      </c>
      <c r="F981" s="35" t="s">
        <v>3459</v>
      </c>
      <c r="G981" s="55" t="s">
        <v>3460</v>
      </c>
    </row>
    <row r="982" spans="1:7" ht="12.5" x14ac:dyDescent="0.25">
      <c r="A982" s="54">
        <v>663</v>
      </c>
      <c r="B982" s="35" t="s">
        <v>3403</v>
      </c>
      <c r="C982" s="35" t="s">
        <v>155</v>
      </c>
      <c r="D982" s="35" t="s">
        <v>41</v>
      </c>
      <c r="E982" s="35" t="s">
        <v>1396</v>
      </c>
      <c r="F982" s="35" t="s">
        <v>2833</v>
      </c>
      <c r="G982" s="55" t="s">
        <v>3461</v>
      </c>
    </row>
    <row r="983" spans="1:7" ht="12.5" x14ac:dyDescent="0.25">
      <c r="A983" s="54">
        <v>664</v>
      </c>
      <c r="B983" s="35" t="s">
        <v>3447</v>
      </c>
      <c r="C983" s="35" t="s">
        <v>155</v>
      </c>
      <c r="D983" s="35" t="s">
        <v>41</v>
      </c>
      <c r="E983" s="35" t="s">
        <v>1396</v>
      </c>
      <c r="F983" s="35" t="s">
        <v>3462</v>
      </c>
      <c r="G983" s="55" t="s">
        <v>3463</v>
      </c>
    </row>
    <row r="984" spans="1:7" ht="12.5" x14ac:dyDescent="0.25">
      <c r="A984" s="54">
        <v>665</v>
      </c>
      <c r="B984" s="35" t="s">
        <v>3431</v>
      </c>
      <c r="C984" s="35" t="s">
        <v>16</v>
      </c>
      <c r="D984" s="35" t="s">
        <v>47</v>
      </c>
      <c r="E984" s="35" t="s">
        <v>14</v>
      </c>
      <c r="F984" s="35" t="s">
        <v>3464</v>
      </c>
      <c r="G984" s="55" t="s">
        <v>3465</v>
      </c>
    </row>
    <row r="985" spans="1:7" ht="12.5" x14ac:dyDescent="0.25">
      <c r="A985" s="54">
        <v>666</v>
      </c>
      <c r="B985" s="35" t="s">
        <v>3466</v>
      </c>
      <c r="C985" s="35" t="s">
        <v>16</v>
      </c>
      <c r="D985" s="35" t="s">
        <v>47</v>
      </c>
      <c r="E985" s="35" t="s">
        <v>235</v>
      </c>
      <c r="F985" s="35" t="s">
        <v>3467</v>
      </c>
      <c r="G985" s="55" t="s">
        <v>3468</v>
      </c>
    </row>
    <row r="986" spans="1:7" ht="12.5" x14ac:dyDescent="0.25">
      <c r="A986" s="54">
        <v>667</v>
      </c>
      <c r="B986" s="35" t="s">
        <v>3469</v>
      </c>
      <c r="C986" s="35" t="s">
        <v>16</v>
      </c>
      <c r="D986" s="35" t="s">
        <v>47</v>
      </c>
      <c r="E986" s="35" t="s">
        <v>235</v>
      </c>
      <c r="F986" s="35" t="s">
        <v>3470</v>
      </c>
      <c r="G986" s="55" t="s">
        <v>3471</v>
      </c>
    </row>
    <row r="987" spans="1:7" ht="12.5" x14ac:dyDescent="0.25">
      <c r="A987" s="54">
        <v>668</v>
      </c>
      <c r="B987" s="35" t="s">
        <v>3472</v>
      </c>
      <c r="C987" s="35" t="s">
        <v>16</v>
      </c>
      <c r="D987" s="35" t="s">
        <v>47</v>
      </c>
      <c r="E987" s="35" t="s">
        <v>235</v>
      </c>
      <c r="F987" s="35" t="s">
        <v>3473</v>
      </c>
      <c r="G987" s="55" t="s">
        <v>3474</v>
      </c>
    </row>
    <row r="988" spans="1:7" ht="12.5" x14ac:dyDescent="0.25">
      <c r="A988" s="54">
        <v>669</v>
      </c>
      <c r="B988" s="35" t="s">
        <v>3423</v>
      </c>
      <c r="C988" s="35" t="s">
        <v>1418</v>
      </c>
      <c r="D988" s="35" t="s">
        <v>47</v>
      </c>
      <c r="E988" s="35" t="s">
        <v>198</v>
      </c>
      <c r="F988" s="35" t="s">
        <v>3475</v>
      </c>
      <c r="G988" s="55" t="s">
        <v>3476</v>
      </c>
    </row>
    <row r="989" spans="1:7" ht="12.5" x14ac:dyDescent="0.25">
      <c r="A989" s="54">
        <v>670</v>
      </c>
      <c r="B989" s="35" t="s">
        <v>3426</v>
      </c>
      <c r="C989" s="35" t="s">
        <v>155</v>
      </c>
      <c r="D989" s="35" t="s">
        <v>47</v>
      </c>
      <c r="E989" s="35" t="s">
        <v>198</v>
      </c>
      <c r="F989" s="35" t="s">
        <v>3016</v>
      </c>
      <c r="G989" s="55" t="s">
        <v>3477</v>
      </c>
    </row>
    <row r="990" spans="1:7" ht="12.5" x14ac:dyDescent="0.25">
      <c r="A990" s="54">
        <v>671</v>
      </c>
      <c r="B990" s="35" t="s">
        <v>3442</v>
      </c>
      <c r="C990" s="35" t="s">
        <v>16</v>
      </c>
      <c r="D990" s="35" t="s">
        <v>52</v>
      </c>
      <c r="E990" s="35" t="s">
        <v>14</v>
      </c>
      <c r="F990" s="35" t="s">
        <v>3406</v>
      </c>
      <c r="G990" s="55" t="s">
        <v>3478</v>
      </c>
    </row>
    <row r="991" spans="1:7" ht="12.5" x14ac:dyDescent="0.25">
      <c r="A991" s="54">
        <v>672</v>
      </c>
      <c r="B991" s="35" t="s">
        <v>3419</v>
      </c>
      <c r="C991" s="35" t="s">
        <v>16</v>
      </c>
      <c r="D991" s="35" t="s">
        <v>52</v>
      </c>
      <c r="E991" s="35" t="s">
        <v>14</v>
      </c>
      <c r="F991" s="35" t="s">
        <v>3450</v>
      </c>
      <c r="G991" s="55" t="s">
        <v>3479</v>
      </c>
    </row>
    <row r="992" spans="1:7" ht="12.5" x14ac:dyDescent="0.25">
      <c r="A992" s="54">
        <v>673</v>
      </c>
      <c r="B992" s="35" t="s">
        <v>3434</v>
      </c>
      <c r="C992" s="35" t="s">
        <v>155</v>
      </c>
      <c r="D992" s="35" t="s">
        <v>52</v>
      </c>
      <c r="E992" s="35" t="s">
        <v>198</v>
      </c>
      <c r="F992" s="35" t="s">
        <v>3480</v>
      </c>
      <c r="G992" s="55" t="s">
        <v>3481</v>
      </c>
    </row>
    <row r="993" spans="1:7" ht="12.5" x14ac:dyDescent="0.25">
      <c r="A993" s="54">
        <v>674</v>
      </c>
      <c r="B993" s="35" t="s">
        <v>3416</v>
      </c>
      <c r="C993" s="35" t="s">
        <v>1418</v>
      </c>
      <c r="D993" s="35" t="s">
        <v>52</v>
      </c>
      <c r="E993" s="35" t="s">
        <v>198</v>
      </c>
      <c r="F993" s="35" t="s">
        <v>3482</v>
      </c>
      <c r="G993" s="55" t="s">
        <v>3483</v>
      </c>
    </row>
    <row r="994" spans="1:7" ht="12.5" x14ac:dyDescent="0.25">
      <c r="A994" s="54">
        <v>675</v>
      </c>
      <c r="B994" s="35" t="s">
        <v>3411</v>
      </c>
      <c r="C994" s="35" t="s">
        <v>155</v>
      </c>
      <c r="D994" s="35" t="s">
        <v>52</v>
      </c>
      <c r="E994" s="35" t="s">
        <v>198</v>
      </c>
      <c r="F994" s="35" t="s">
        <v>3484</v>
      </c>
      <c r="G994" s="55" t="s">
        <v>3485</v>
      </c>
    </row>
    <row r="995" spans="1:7" ht="12.5" x14ac:dyDescent="0.25">
      <c r="A995" s="54">
        <v>676</v>
      </c>
      <c r="B995" s="35" t="s">
        <v>3486</v>
      </c>
      <c r="C995" s="35" t="s">
        <v>16</v>
      </c>
      <c r="D995" s="35" t="s">
        <v>52</v>
      </c>
      <c r="E995" s="35" t="s">
        <v>198</v>
      </c>
      <c r="F995" s="35" t="s">
        <v>3480</v>
      </c>
      <c r="G995" s="55" t="s">
        <v>3487</v>
      </c>
    </row>
    <row r="996" spans="1:7" ht="12.5" x14ac:dyDescent="0.25">
      <c r="A996" s="54">
        <v>677</v>
      </c>
      <c r="B996" s="35" t="s">
        <v>3414</v>
      </c>
      <c r="C996" s="35" t="s">
        <v>155</v>
      </c>
      <c r="D996" s="35" t="s">
        <v>52</v>
      </c>
      <c r="E996" s="35" t="s">
        <v>198</v>
      </c>
      <c r="F996" s="35" t="s">
        <v>2628</v>
      </c>
      <c r="G996" s="55" t="s">
        <v>3488</v>
      </c>
    </row>
    <row r="997" spans="1:7" ht="12.5" x14ac:dyDescent="0.25">
      <c r="A997" s="54">
        <v>678</v>
      </c>
      <c r="B997" s="35" t="s">
        <v>3489</v>
      </c>
      <c r="C997" s="35" t="s">
        <v>1421</v>
      </c>
      <c r="D997" s="35" t="s">
        <v>195</v>
      </c>
      <c r="E997" s="35" t="s">
        <v>821</v>
      </c>
      <c r="F997" s="35" t="s">
        <v>3490</v>
      </c>
      <c r="G997" s="55" t="s">
        <v>3491</v>
      </c>
    </row>
    <row r="998" spans="1:7" ht="12.5" x14ac:dyDescent="0.25">
      <c r="A998" s="54">
        <v>679</v>
      </c>
      <c r="B998" s="35" t="s">
        <v>3431</v>
      </c>
      <c r="C998" s="35" t="s">
        <v>1418</v>
      </c>
      <c r="D998" s="35" t="s">
        <v>195</v>
      </c>
      <c r="E998" s="35" t="s">
        <v>14</v>
      </c>
      <c r="F998" s="35" t="s">
        <v>3417</v>
      </c>
      <c r="G998" s="55" t="s">
        <v>3492</v>
      </c>
    </row>
    <row r="999" spans="1:7" ht="12.5" x14ac:dyDescent="0.25">
      <c r="A999" s="54">
        <v>680</v>
      </c>
      <c r="B999" s="35" t="s">
        <v>3419</v>
      </c>
      <c r="C999" s="35" t="s">
        <v>1418</v>
      </c>
      <c r="D999" s="35" t="s">
        <v>195</v>
      </c>
      <c r="E999" s="35" t="s">
        <v>14</v>
      </c>
      <c r="F999" s="35" t="s">
        <v>3493</v>
      </c>
      <c r="G999" s="55" t="s">
        <v>3494</v>
      </c>
    </row>
    <row r="1000" spans="1:7" ht="12.5" x14ac:dyDescent="0.25">
      <c r="A1000" s="54">
        <v>681</v>
      </c>
      <c r="B1000" s="35" t="s">
        <v>3400</v>
      </c>
      <c r="C1000" s="35" t="s">
        <v>1418</v>
      </c>
      <c r="D1000" s="35" t="s">
        <v>195</v>
      </c>
      <c r="E1000" s="35" t="s">
        <v>25</v>
      </c>
      <c r="F1000" s="35" t="s">
        <v>3016</v>
      </c>
      <c r="G1000" s="55" t="s">
        <v>3495</v>
      </c>
    </row>
    <row r="1001" spans="1:7" ht="12.5" x14ac:dyDescent="0.25">
      <c r="A1001" s="54">
        <v>682</v>
      </c>
      <c r="B1001" s="35" t="s">
        <v>3442</v>
      </c>
      <c r="C1001" s="35" t="s">
        <v>1418</v>
      </c>
      <c r="D1001" s="35" t="s">
        <v>195</v>
      </c>
      <c r="E1001" s="35" t="s">
        <v>25</v>
      </c>
      <c r="F1001" s="35" t="s">
        <v>3496</v>
      </c>
      <c r="G1001" s="55" t="s">
        <v>3497</v>
      </c>
    </row>
    <row r="1002" spans="1:7" ht="12.5" x14ac:dyDescent="0.25">
      <c r="A1002" s="54">
        <v>683</v>
      </c>
      <c r="B1002" s="35" t="s">
        <v>3405</v>
      </c>
      <c r="C1002" s="35" t="s">
        <v>1418</v>
      </c>
      <c r="D1002" s="35" t="s">
        <v>195</v>
      </c>
      <c r="E1002" s="35" t="s">
        <v>235</v>
      </c>
      <c r="F1002" s="35" t="s">
        <v>3498</v>
      </c>
      <c r="G1002" s="55" t="s">
        <v>3499</v>
      </c>
    </row>
    <row r="1003" spans="1:7" ht="12.5" x14ac:dyDescent="0.25">
      <c r="A1003" s="54">
        <v>684</v>
      </c>
      <c r="B1003" s="35" t="s">
        <v>3452</v>
      </c>
      <c r="C1003" s="35" t="s">
        <v>155</v>
      </c>
      <c r="D1003" s="35" t="s">
        <v>195</v>
      </c>
      <c r="E1003" s="35" t="s">
        <v>235</v>
      </c>
      <c r="F1003" s="35" t="s">
        <v>3500</v>
      </c>
      <c r="G1003" s="55" t="s">
        <v>3501</v>
      </c>
    </row>
    <row r="1004" spans="1:7" ht="12.5" x14ac:dyDescent="0.25">
      <c r="A1004" s="54">
        <v>685</v>
      </c>
      <c r="B1004" s="35" t="s">
        <v>3469</v>
      </c>
      <c r="C1004" s="35" t="s">
        <v>155</v>
      </c>
      <c r="D1004" s="35" t="s">
        <v>195</v>
      </c>
      <c r="E1004" s="35" t="s">
        <v>235</v>
      </c>
      <c r="F1004" s="35" t="s">
        <v>3502</v>
      </c>
      <c r="G1004" s="55" t="s">
        <v>3503</v>
      </c>
    </row>
    <row r="1005" spans="1:7" ht="12.5" x14ac:dyDescent="0.25">
      <c r="A1005" s="54">
        <v>686</v>
      </c>
      <c r="B1005" s="35" t="s">
        <v>3504</v>
      </c>
      <c r="C1005" s="35" t="s">
        <v>16</v>
      </c>
      <c r="D1005" s="35" t="s">
        <v>195</v>
      </c>
      <c r="E1005" s="35" t="s">
        <v>235</v>
      </c>
      <c r="F1005" s="35" t="s">
        <v>3505</v>
      </c>
      <c r="G1005" s="55" t="s">
        <v>3506</v>
      </c>
    </row>
    <row r="1006" spans="1:7" ht="12.5" x14ac:dyDescent="0.25">
      <c r="A1006" s="54">
        <v>687</v>
      </c>
      <c r="B1006" s="35" t="s">
        <v>3472</v>
      </c>
      <c r="C1006" s="35" t="s">
        <v>155</v>
      </c>
      <c r="D1006" s="35" t="s">
        <v>195</v>
      </c>
      <c r="E1006" s="35" t="s">
        <v>235</v>
      </c>
      <c r="F1006" s="35" t="s">
        <v>2039</v>
      </c>
      <c r="G1006" s="55" t="s">
        <v>3507</v>
      </c>
    </row>
    <row r="1007" spans="1:7" ht="12.5" x14ac:dyDescent="0.25">
      <c r="A1007" s="54">
        <v>688</v>
      </c>
      <c r="B1007" s="35" t="s">
        <v>3403</v>
      </c>
      <c r="C1007" s="35" t="s">
        <v>1418</v>
      </c>
      <c r="D1007" s="35" t="s">
        <v>195</v>
      </c>
      <c r="E1007" s="35" t="s">
        <v>1122</v>
      </c>
      <c r="F1007" s="35" t="s">
        <v>3508</v>
      </c>
      <c r="G1007" s="55" t="s">
        <v>3509</v>
      </c>
    </row>
    <row r="1008" spans="1:7" ht="12.5" x14ac:dyDescent="0.25">
      <c r="A1008" s="54">
        <v>689</v>
      </c>
      <c r="B1008" s="35" t="s">
        <v>3447</v>
      </c>
      <c r="C1008" s="35" t="s">
        <v>1418</v>
      </c>
      <c r="D1008" s="35" t="s">
        <v>195</v>
      </c>
      <c r="E1008" s="35" t="s">
        <v>1122</v>
      </c>
      <c r="F1008" s="35" t="s">
        <v>2821</v>
      </c>
      <c r="G1008" s="55" t="s">
        <v>3510</v>
      </c>
    </row>
    <row r="1009" spans="1:7" ht="12.5" x14ac:dyDescent="0.25">
      <c r="A1009" s="54">
        <v>690</v>
      </c>
      <c r="B1009" s="35" t="s">
        <v>3511</v>
      </c>
      <c r="C1009" s="35" t="s">
        <v>16</v>
      </c>
      <c r="D1009" s="35" t="s">
        <v>13</v>
      </c>
      <c r="E1009" s="35" t="s">
        <v>191</v>
      </c>
      <c r="F1009" s="35" t="s">
        <v>3512</v>
      </c>
      <c r="G1009" s="55" t="s">
        <v>3513</v>
      </c>
    </row>
    <row r="1010" spans="1:7" ht="12.5" x14ac:dyDescent="0.25">
      <c r="A1010" s="54">
        <v>691</v>
      </c>
      <c r="B1010" s="35" t="s">
        <v>3514</v>
      </c>
      <c r="C1010" s="35" t="s">
        <v>16</v>
      </c>
      <c r="D1010" s="35" t="s">
        <v>13</v>
      </c>
      <c r="E1010" s="35" t="s">
        <v>1429</v>
      </c>
      <c r="F1010" s="35" t="s">
        <v>3515</v>
      </c>
      <c r="G1010" s="55" t="s">
        <v>3516</v>
      </c>
    </row>
    <row r="1011" spans="1:7" ht="12.5" x14ac:dyDescent="0.25">
      <c r="A1011" s="54">
        <v>692</v>
      </c>
      <c r="B1011" s="35" t="s">
        <v>3517</v>
      </c>
      <c r="C1011" s="35" t="s">
        <v>16</v>
      </c>
      <c r="D1011" s="35" t="s">
        <v>13</v>
      </c>
      <c r="E1011" s="35" t="s">
        <v>64</v>
      </c>
      <c r="F1011" s="35" t="s">
        <v>3518</v>
      </c>
      <c r="G1011" s="55" t="s">
        <v>3519</v>
      </c>
    </row>
    <row r="1012" spans="1:7" ht="12.5" x14ac:dyDescent="0.25">
      <c r="A1012" s="54">
        <v>693</v>
      </c>
      <c r="B1012" s="35" t="s">
        <v>3520</v>
      </c>
      <c r="C1012" s="35" t="s">
        <v>16</v>
      </c>
      <c r="D1012" s="35" t="s">
        <v>31</v>
      </c>
      <c r="E1012" s="35" t="s">
        <v>14</v>
      </c>
      <c r="F1012" s="35" t="s">
        <v>3521</v>
      </c>
      <c r="G1012" s="55" t="s">
        <v>3522</v>
      </c>
    </row>
    <row r="1013" spans="1:7" ht="12.5" x14ac:dyDescent="0.25">
      <c r="A1013" s="54">
        <v>694</v>
      </c>
      <c r="B1013" s="35" t="s">
        <v>3523</v>
      </c>
      <c r="C1013" s="35" t="s">
        <v>16</v>
      </c>
      <c r="D1013" s="35" t="s">
        <v>31</v>
      </c>
      <c r="E1013" s="35" t="s">
        <v>14</v>
      </c>
      <c r="F1013" s="35" t="s">
        <v>2815</v>
      </c>
      <c r="G1013" s="55" t="s">
        <v>3524</v>
      </c>
    </row>
    <row r="1014" spans="1:7" ht="12.5" x14ac:dyDescent="0.25">
      <c r="A1014" s="54">
        <v>695</v>
      </c>
      <c r="B1014" s="35" t="s">
        <v>3520</v>
      </c>
      <c r="C1014" s="35" t="s">
        <v>50</v>
      </c>
      <c r="D1014" s="35" t="s">
        <v>31</v>
      </c>
      <c r="E1014" s="35" t="s">
        <v>283</v>
      </c>
      <c r="F1014" s="35" t="s">
        <v>3525</v>
      </c>
      <c r="G1014" s="55" t="s">
        <v>3526</v>
      </c>
    </row>
    <row r="1015" spans="1:7" ht="12.5" x14ac:dyDescent="0.25">
      <c r="A1015" s="54">
        <v>696</v>
      </c>
      <c r="B1015" s="35" t="s">
        <v>3517</v>
      </c>
      <c r="C1015" s="35" t="s">
        <v>50</v>
      </c>
      <c r="D1015" s="35" t="s">
        <v>31</v>
      </c>
      <c r="E1015" s="35" t="s">
        <v>36</v>
      </c>
      <c r="F1015" s="35" t="s">
        <v>3448</v>
      </c>
      <c r="G1015" s="55" t="s">
        <v>3527</v>
      </c>
    </row>
    <row r="1016" spans="1:7" ht="12.5" x14ac:dyDescent="0.25">
      <c r="A1016" s="54">
        <v>697</v>
      </c>
      <c r="B1016" s="35" t="s">
        <v>3528</v>
      </c>
      <c r="C1016" s="35" t="s">
        <v>16</v>
      </c>
      <c r="D1016" s="35" t="s">
        <v>41</v>
      </c>
      <c r="E1016" s="35" t="s">
        <v>14</v>
      </c>
      <c r="F1016" s="35" t="s">
        <v>3529</v>
      </c>
      <c r="G1016" s="55" t="s">
        <v>3530</v>
      </c>
    </row>
    <row r="1017" spans="1:7" ht="12.5" x14ac:dyDescent="0.25">
      <c r="A1017" s="54">
        <v>698</v>
      </c>
      <c r="B1017" s="35" t="s">
        <v>3528</v>
      </c>
      <c r="C1017" s="35" t="s">
        <v>50</v>
      </c>
      <c r="D1017" s="35" t="s">
        <v>41</v>
      </c>
      <c r="E1017" s="35" t="s">
        <v>283</v>
      </c>
      <c r="F1017" s="35" t="s">
        <v>2836</v>
      </c>
      <c r="G1017" s="55" t="s">
        <v>3531</v>
      </c>
    </row>
    <row r="1018" spans="1:7" ht="12.5" x14ac:dyDescent="0.25">
      <c r="A1018" s="54">
        <v>699</v>
      </c>
      <c r="B1018" s="35" t="s">
        <v>3523</v>
      </c>
      <c r="C1018" s="35" t="s">
        <v>50</v>
      </c>
      <c r="D1018" s="35" t="s">
        <v>41</v>
      </c>
      <c r="E1018" s="35" t="s">
        <v>283</v>
      </c>
      <c r="F1018" s="35" t="s">
        <v>3515</v>
      </c>
      <c r="G1018" s="55" t="s">
        <v>3532</v>
      </c>
    </row>
    <row r="1019" spans="1:7" ht="12.5" x14ac:dyDescent="0.25">
      <c r="A1019" s="54">
        <v>700</v>
      </c>
      <c r="B1019" s="35" t="s">
        <v>3533</v>
      </c>
      <c r="C1019" s="35" t="s">
        <v>16</v>
      </c>
      <c r="D1019" s="35" t="s">
        <v>41</v>
      </c>
      <c r="E1019" s="35" t="s">
        <v>289</v>
      </c>
      <c r="F1019" s="35" t="s">
        <v>3534</v>
      </c>
      <c r="G1019" s="55" t="s">
        <v>3535</v>
      </c>
    </row>
    <row r="1020" spans="1:7" ht="12.5" x14ac:dyDescent="0.25">
      <c r="A1020" s="54">
        <v>701</v>
      </c>
      <c r="B1020" s="35" t="s">
        <v>3536</v>
      </c>
      <c r="C1020" s="35" t="s">
        <v>16</v>
      </c>
      <c r="D1020" s="35" t="s">
        <v>47</v>
      </c>
      <c r="E1020" s="35" t="s">
        <v>14</v>
      </c>
      <c r="F1020" s="35" t="s">
        <v>3512</v>
      </c>
      <c r="G1020" s="55" t="s">
        <v>3537</v>
      </c>
    </row>
    <row r="1021" spans="1:7" ht="12.5" x14ac:dyDescent="0.25">
      <c r="A1021" s="54">
        <v>702</v>
      </c>
      <c r="B1021" s="35" t="s">
        <v>3514</v>
      </c>
      <c r="C1021" s="35" t="s">
        <v>50</v>
      </c>
      <c r="D1021" s="35" t="s">
        <v>47</v>
      </c>
      <c r="E1021" s="35" t="s">
        <v>1440</v>
      </c>
      <c r="F1021" s="35" t="s">
        <v>2823</v>
      </c>
      <c r="G1021" s="55" t="s">
        <v>3538</v>
      </c>
    </row>
    <row r="1022" spans="1:7" ht="12.5" x14ac:dyDescent="0.25">
      <c r="A1022" s="54">
        <v>703</v>
      </c>
      <c r="B1022" s="35" t="s">
        <v>3536</v>
      </c>
      <c r="C1022" s="35" t="s">
        <v>50</v>
      </c>
      <c r="D1022" s="35" t="s">
        <v>47</v>
      </c>
      <c r="E1022" s="35" t="s">
        <v>283</v>
      </c>
      <c r="F1022" s="35" t="s">
        <v>3515</v>
      </c>
      <c r="G1022" s="55" t="s">
        <v>3539</v>
      </c>
    </row>
    <row r="1023" spans="1:7" ht="12.5" x14ac:dyDescent="0.25">
      <c r="A1023" s="54">
        <v>704</v>
      </c>
      <c r="B1023" s="35" t="s">
        <v>3540</v>
      </c>
      <c r="C1023" s="35" t="s">
        <v>16</v>
      </c>
      <c r="D1023" s="35" t="s">
        <v>47</v>
      </c>
      <c r="E1023" s="35" t="s">
        <v>64</v>
      </c>
      <c r="F1023" s="35" t="s">
        <v>3541</v>
      </c>
      <c r="G1023" s="55" t="s">
        <v>3542</v>
      </c>
    </row>
    <row r="1024" spans="1:7" ht="12.5" x14ac:dyDescent="0.25">
      <c r="A1024" s="54">
        <v>705</v>
      </c>
      <c r="B1024" s="35" t="s">
        <v>3540</v>
      </c>
      <c r="C1024" s="35" t="s">
        <v>50</v>
      </c>
      <c r="D1024" s="35" t="s">
        <v>47</v>
      </c>
      <c r="E1024" s="35" t="s">
        <v>862</v>
      </c>
      <c r="F1024" s="35" t="s">
        <v>3543</v>
      </c>
      <c r="G1024" s="55" t="s">
        <v>3544</v>
      </c>
    </row>
    <row r="1025" spans="1:7" ht="12.5" x14ac:dyDescent="0.25">
      <c r="A1025" s="54">
        <v>706</v>
      </c>
      <c r="B1025" s="35" t="s">
        <v>3545</v>
      </c>
      <c r="C1025" s="35" t="s">
        <v>16</v>
      </c>
      <c r="D1025" s="35" t="s">
        <v>13</v>
      </c>
      <c r="E1025" s="35" t="s">
        <v>261</v>
      </c>
      <c r="F1025" s="35" t="s">
        <v>2505</v>
      </c>
      <c r="G1025" s="55" t="s">
        <v>3546</v>
      </c>
    </row>
    <row r="1026" spans="1:7" ht="12.5" x14ac:dyDescent="0.25">
      <c r="A1026" s="54">
        <v>707</v>
      </c>
      <c r="B1026" s="35" t="s">
        <v>3545</v>
      </c>
      <c r="C1026" s="35" t="s">
        <v>50</v>
      </c>
      <c r="D1026" s="35" t="s">
        <v>13</v>
      </c>
      <c r="E1026" s="35" t="s">
        <v>423</v>
      </c>
      <c r="F1026" s="35" t="s">
        <v>3421</v>
      </c>
      <c r="G1026" s="55" t="s">
        <v>3547</v>
      </c>
    </row>
    <row r="1027" spans="1:7" ht="12.5" x14ac:dyDescent="0.25">
      <c r="A1027" s="54">
        <v>708</v>
      </c>
      <c r="B1027" s="35" t="s">
        <v>3548</v>
      </c>
      <c r="C1027" s="35" t="s">
        <v>16</v>
      </c>
      <c r="D1027" s="35" t="s">
        <v>13</v>
      </c>
      <c r="E1027" s="35" t="s">
        <v>64</v>
      </c>
      <c r="F1027" s="35" t="s">
        <v>3549</v>
      </c>
      <c r="G1027" s="55" t="s">
        <v>3550</v>
      </c>
    </row>
    <row r="1028" spans="1:7" ht="12.5" x14ac:dyDescent="0.25">
      <c r="A1028" s="54">
        <v>709</v>
      </c>
      <c r="B1028" s="35" t="s">
        <v>3551</v>
      </c>
      <c r="C1028" s="35" t="s">
        <v>16</v>
      </c>
      <c r="D1028" s="35" t="s">
        <v>13</v>
      </c>
      <c r="E1028" s="35" t="s">
        <v>101</v>
      </c>
      <c r="F1028" s="35" t="s">
        <v>3552</v>
      </c>
      <c r="G1028" s="55" t="s">
        <v>3553</v>
      </c>
    </row>
    <row r="1029" spans="1:7" ht="12.5" x14ac:dyDescent="0.25">
      <c r="A1029" s="54">
        <v>710</v>
      </c>
      <c r="B1029" s="35" t="s">
        <v>3554</v>
      </c>
      <c r="C1029" s="35" t="s">
        <v>16</v>
      </c>
      <c r="D1029" s="35" t="s">
        <v>31</v>
      </c>
      <c r="E1029" s="35" t="s">
        <v>139</v>
      </c>
      <c r="F1029" s="35" t="s">
        <v>3412</v>
      </c>
      <c r="G1029" s="55" t="s">
        <v>3555</v>
      </c>
    </row>
    <row r="1030" spans="1:7" ht="12.5" x14ac:dyDescent="0.25">
      <c r="A1030" s="54">
        <v>711</v>
      </c>
      <c r="B1030" s="35" t="s">
        <v>3556</v>
      </c>
      <c r="C1030" s="35" t="s">
        <v>16</v>
      </c>
      <c r="D1030" s="35" t="s">
        <v>31</v>
      </c>
      <c r="E1030" s="35" t="s">
        <v>14</v>
      </c>
      <c r="F1030" s="35" t="s">
        <v>3496</v>
      </c>
      <c r="G1030" s="55" t="s">
        <v>3557</v>
      </c>
    </row>
    <row r="1031" spans="1:7" ht="12.5" x14ac:dyDescent="0.25">
      <c r="A1031" s="54">
        <v>712</v>
      </c>
      <c r="B1031" s="35" t="s">
        <v>3554</v>
      </c>
      <c r="C1031" s="35" t="s">
        <v>50</v>
      </c>
      <c r="D1031" s="35" t="s">
        <v>31</v>
      </c>
      <c r="E1031" s="35" t="s">
        <v>423</v>
      </c>
      <c r="F1031" s="35" t="s">
        <v>2657</v>
      </c>
      <c r="G1031" s="55" t="s">
        <v>3558</v>
      </c>
    </row>
    <row r="1032" spans="1:7" ht="12.5" x14ac:dyDescent="0.25">
      <c r="A1032" s="54">
        <v>713</v>
      </c>
      <c r="B1032" s="35" t="s">
        <v>3559</v>
      </c>
      <c r="C1032" s="35" t="s">
        <v>16</v>
      </c>
      <c r="D1032" s="35" t="s">
        <v>31</v>
      </c>
      <c r="E1032" s="35" t="s">
        <v>221</v>
      </c>
      <c r="F1032" s="35" t="s">
        <v>3560</v>
      </c>
      <c r="G1032" s="55" t="s">
        <v>3561</v>
      </c>
    </row>
    <row r="1033" spans="1:7" ht="12.5" x14ac:dyDescent="0.25">
      <c r="A1033" s="54">
        <v>714</v>
      </c>
      <c r="B1033" s="35" t="s">
        <v>3559</v>
      </c>
      <c r="C1033" s="35" t="s">
        <v>50</v>
      </c>
      <c r="D1033" s="35" t="s">
        <v>31</v>
      </c>
      <c r="E1033" s="35" t="s">
        <v>224</v>
      </c>
      <c r="F1033" s="35" t="s">
        <v>3562</v>
      </c>
      <c r="G1033" s="55" t="s">
        <v>3563</v>
      </c>
    </row>
    <row r="1034" spans="1:7" ht="12.5" x14ac:dyDescent="0.25">
      <c r="A1034" s="54">
        <v>715</v>
      </c>
      <c r="B1034" s="35" t="s">
        <v>3564</v>
      </c>
      <c r="C1034" s="35" t="s">
        <v>16</v>
      </c>
      <c r="D1034" s="35" t="s">
        <v>31</v>
      </c>
      <c r="E1034" s="35" t="s">
        <v>415</v>
      </c>
      <c r="F1034" s="35" t="s">
        <v>2836</v>
      </c>
      <c r="G1034" s="55" t="s">
        <v>3565</v>
      </c>
    </row>
    <row r="1035" spans="1:7" ht="12.5" x14ac:dyDescent="0.25">
      <c r="A1035" s="54">
        <v>716</v>
      </c>
      <c r="B1035" s="35" t="s">
        <v>3564</v>
      </c>
      <c r="C1035" s="35" t="s">
        <v>50</v>
      </c>
      <c r="D1035" s="35" t="s">
        <v>31</v>
      </c>
      <c r="E1035" s="35" t="s">
        <v>502</v>
      </c>
      <c r="F1035" s="35" t="s">
        <v>3566</v>
      </c>
      <c r="G1035" s="55" t="s">
        <v>3567</v>
      </c>
    </row>
    <row r="1036" spans="1:7" ht="12.5" x14ac:dyDescent="0.25">
      <c r="A1036" s="54">
        <v>717</v>
      </c>
      <c r="B1036" s="35" t="s">
        <v>3568</v>
      </c>
      <c r="C1036" s="35" t="s">
        <v>16</v>
      </c>
      <c r="D1036" s="35" t="s">
        <v>41</v>
      </c>
      <c r="E1036" s="35" t="s">
        <v>261</v>
      </c>
      <c r="F1036" s="35" t="s">
        <v>3512</v>
      </c>
      <c r="G1036" s="55" t="s">
        <v>3569</v>
      </c>
    </row>
    <row r="1037" spans="1:7" ht="12.5" x14ac:dyDescent="0.25">
      <c r="A1037" s="54">
        <v>718</v>
      </c>
      <c r="B1037" s="35" t="s">
        <v>3568</v>
      </c>
      <c r="C1037" s="35" t="s">
        <v>50</v>
      </c>
      <c r="D1037" s="35" t="s">
        <v>41</v>
      </c>
      <c r="E1037" s="35" t="s">
        <v>423</v>
      </c>
      <c r="F1037" s="35" t="s">
        <v>3570</v>
      </c>
      <c r="G1037" s="55" t="s">
        <v>3571</v>
      </c>
    </row>
    <row r="1038" spans="1:7" ht="12.5" x14ac:dyDescent="0.25">
      <c r="A1038" s="54">
        <v>719</v>
      </c>
      <c r="B1038" s="35" t="s">
        <v>3572</v>
      </c>
      <c r="C1038" s="35" t="s">
        <v>16</v>
      </c>
      <c r="D1038" s="35" t="s">
        <v>41</v>
      </c>
      <c r="E1038" s="35" t="s">
        <v>101</v>
      </c>
      <c r="F1038" s="35" t="s">
        <v>3470</v>
      </c>
      <c r="G1038" s="55" t="s">
        <v>3573</v>
      </c>
    </row>
    <row r="1039" spans="1:7" ht="12.5" x14ac:dyDescent="0.25">
      <c r="A1039" s="54">
        <v>720</v>
      </c>
      <c r="B1039" s="35" t="s">
        <v>3574</v>
      </c>
      <c r="C1039" s="35" t="s">
        <v>16</v>
      </c>
      <c r="D1039" s="35" t="s">
        <v>41</v>
      </c>
      <c r="E1039" s="35" t="s">
        <v>101</v>
      </c>
      <c r="F1039" s="35" t="s">
        <v>3575</v>
      </c>
      <c r="G1039" s="55" t="s">
        <v>3576</v>
      </c>
    </row>
    <row r="1040" spans="1:7" ht="12.5" x14ac:dyDescent="0.25">
      <c r="A1040" s="54">
        <v>721</v>
      </c>
      <c r="B1040" s="35" t="s">
        <v>3577</v>
      </c>
      <c r="C1040" s="35" t="s">
        <v>16</v>
      </c>
      <c r="D1040" s="35" t="s">
        <v>47</v>
      </c>
      <c r="E1040" s="35" t="s">
        <v>14</v>
      </c>
      <c r="F1040" s="35" t="s">
        <v>3450</v>
      </c>
      <c r="G1040" s="55" t="s">
        <v>3578</v>
      </c>
    </row>
    <row r="1041" spans="1:7" ht="12.5" x14ac:dyDescent="0.25">
      <c r="A1041" s="54">
        <v>722</v>
      </c>
      <c r="B1041" s="35" t="s">
        <v>3579</v>
      </c>
      <c r="C1041" s="35" t="s">
        <v>16</v>
      </c>
      <c r="D1041" s="35" t="s">
        <v>47</v>
      </c>
      <c r="E1041" s="35" t="s">
        <v>1459</v>
      </c>
      <c r="F1041" s="35" t="s">
        <v>2836</v>
      </c>
      <c r="G1041" s="55" t="s">
        <v>3580</v>
      </c>
    </row>
    <row r="1042" spans="1:7" ht="12.5" x14ac:dyDescent="0.25">
      <c r="A1042" s="54">
        <v>723</v>
      </c>
      <c r="B1042" s="35" t="s">
        <v>3581</v>
      </c>
      <c r="C1042" s="35" t="s">
        <v>16</v>
      </c>
      <c r="D1042" s="35" t="s">
        <v>47</v>
      </c>
      <c r="E1042" s="35" t="s">
        <v>221</v>
      </c>
      <c r="F1042" s="35" t="s">
        <v>3438</v>
      </c>
      <c r="G1042" s="55" t="s">
        <v>3582</v>
      </c>
    </row>
    <row r="1043" spans="1:7" ht="12.5" x14ac:dyDescent="0.25">
      <c r="A1043" s="54">
        <v>724</v>
      </c>
      <c r="B1043" s="35" t="s">
        <v>3581</v>
      </c>
      <c r="C1043" s="35" t="s">
        <v>50</v>
      </c>
      <c r="D1043" s="35" t="s">
        <v>47</v>
      </c>
      <c r="E1043" s="35" t="s">
        <v>224</v>
      </c>
      <c r="F1043" s="35" t="s">
        <v>3450</v>
      </c>
      <c r="G1043" s="55" t="s">
        <v>3583</v>
      </c>
    </row>
    <row r="1044" spans="1:7" ht="12.5" x14ac:dyDescent="0.25">
      <c r="A1044" s="54">
        <v>725</v>
      </c>
      <c r="B1044" s="35" t="s">
        <v>3584</v>
      </c>
      <c r="C1044" s="35" t="s">
        <v>16</v>
      </c>
      <c r="D1044" s="35" t="s">
        <v>52</v>
      </c>
      <c r="E1044" s="35" t="s">
        <v>14</v>
      </c>
      <c r="F1044" s="35" t="s">
        <v>3521</v>
      </c>
      <c r="G1044" s="55" t="s">
        <v>3585</v>
      </c>
    </row>
    <row r="1045" spans="1:7" ht="12.5" x14ac:dyDescent="0.25">
      <c r="A1045" s="54">
        <v>726</v>
      </c>
      <c r="B1045" s="35" t="s">
        <v>3586</v>
      </c>
      <c r="C1045" s="35" t="s">
        <v>16</v>
      </c>
      <c r="D1045" s="35" t="s">
        <v>52</v>
      </c>
      <c r="E1045" s="35" t="s">
        <v>221</v>
      </c>
      <c r="F1045" s="35" t="s">
        <v>3525</v>
      </c>
      <c r="G1045" s="55" t="s">
        <v>3587</v>
      </c>
    </row>
    <row r="1046" spans="1:7" ht="12.5" x14ac:dyDescent="0.25">
      <c r="A1046" s="54">
        <v>727</v>
      </c>
      <c r="B1046" s="35" t="s">
        <v>3586</v>
      </c>
      <c r="C1046" s="35" t="s">
        <v>50</v>
      </c>
      <c r="D1046" s="35" t="s">
        <v>52</v>
      </c>
      <c r="E1046" s="35" t="s">
        <v>224</v>
      </c>
      <c r="F1046" s="35" t="s">
        <v>3588</v>
      </c>
      <c r="G1046" s="55" t="s">
        <v>3589</v>
      </c>
    </row>
    <row r="1047" spans="1:7" ht="12.5" x14ac:dyDescent="0.25">
      <c r="A1047" s="54">
        <v>728</v>
      </c>
      <c r="B1047" s="35" t="s">
        <v>3568</v>
      </c>
      <c r="C1047" s="35" t="s">
        <v>144</v>
      </c>
      <c r="D1047" s="35" t="s">
        <v>52</v>
      </c>
      <c r="E1047" s="35" t="s">
        <v>1466</v>
      </c>
      <c r="F1047" s="35" t="s">
        <v>3562</v>
      </c>
      <c r="G1047" s="55" t="s">
        <v>3590</v>
      </c>
    </row>
    <row r="1048" spans="1:7" ht="12.5" x14ac:dyDescent="0.25">
      <c r="A1048" s="54">
        <v>729</v>
      </c>
      <c r="B1048" s="35" t="s">
        <v>3586</v>
      </c>
      <c r="C1048" s="35" t="s">
        <v>155</v>
      </c>
      <c r="D1048" s="35" t="s">
        <v>195</v>
      </c>
      <c r="E1048" s="35" t="s">
        <v>261</v>
      </c>
      <c r="F1048" s="35" t="s">
        <v>2808</v>
      </c>
      <c r="G1048" s="55" t="s">
        <v>3591</v>
      </c>
    </row>
    <row r="1049" spans="1:7" ht="12.5" x14ac:dyDescent="0.25">
      <c r="A1049" s="54">
        <v>730</v>
      </c>
      <c r="B1049" s="35" t="s">
        <v>3554</v>
      </c>
      <c r="C1049" s="35" t="s">
        <v>155</v>
      </c>
      <c r="D1049" s="35" t="s">
        <v>195</v>
      </c>
      <c r="E1049" s="35" t="s">
        <v>261</v>
      </c>
      <c r="F1049" s="35" t="s">
        <v>3592</v>
      </c>
      <c r="G1049" s="55" t="s">
        <v>3593</v>
      </c>
    </row>
    <row r="1050" spans="1:7" ht="12.5" x14ac:dyDescent="0.25">
      <c r="A1050" s="54">
        <v>731</v>
      </c>
      <c r="B1050" s="35" t="s">
        <v>3548</v>
      </c>
      <c r="C1050" s="35" t="s">
        <v>155</v>
      </c>
      <c r="D1050" s="35" t="s">
        <v>195</v>
      </c>
      <c r="E1050" s="35" t="s">
        <v>14</v>
      </c>
      <c r="F1050" s="35" t="s">
        <v>3518</v>
      </c>
      <c r="G1050" s="55" t="s">
        <v>3594</v>
      </c>
    </row>
    <row r="1051" spans="1:7" ht="12.5" x14ac:dyDescent="0.25">
      <c r="A1051" s="54">
        <v>732</v>
      </c>
      <c r="B1051" s="35" t="s">
        <v>3584</v>
      </c>
      <c r="C1051" s="35" t="s">
        <v>155</v>
      </c>
      <c r="D1051" s="35" t="s">
        <v>195</v>
      </c>
      <c r="E1051" s="35" t="s">
        <v>14</v>
      </c>
      <c r="F1051" s="35" t="s">
        <v>3595</v>
      </c>
      <c r="G1051" s="55" t="s">
        <v>3596</v>
      </c>
    </row>
    <row r="1052" spans="1:7" ht="12.5" x14ac:dyDescent="0.25">
      <c r="A1052" s="54">
        <v>733</v>
      </c>
      <c r="B1052" s="35" t="s">
        <v>3586</v>
      </c>
      <c r="C1052" s="35" t="s">
        <v>144</v>
      </c>
      <c r="D1052" s="35" t="s">
        <v>195</v>
      </c>
      <c r="E1052" s="35" t="s">
        <v>423</v>
      </c>
      <c r="F1052" s="35" t="s">
        <v>3597</v>
      </c>
      <c r="G1052" s="55" t="s">
        <v>3598</v>
      </c>
    </row>
    <row r="1053" spans="1:7" ht="12.5" x14ac:dyDescent="0.25">
      <c r="A1053" s="54">
        <v>734</v>
      </c>
      <c r="B1053" s="35" t="s">
        <v>3554</v>
      </c>
      <c r="C1053" s="35" t="s">
        <v>144</v>
      </c>
      <c r="D1053" s="35" t="s">
        <v>195</v>
      </c>
      <c r="E1053" s="35" t="s">
        <v>423</v>
      </c>
      <c r="F1053" s="35" t="s">
        <v>3599</v>
      </c>
      <c r="G1053" s="55" t="s">
        <v>3600</v>
      </c>
    </row>
    <row r="1054" spans="1:7" ht="12.5" x14ac:dyDescent="0.25">
      <c r="A1054" s="54">
        <v>735</v>
      </c>
      <c r="B1054" s="35" t="s">
        <v>3601</v>
      </c>
      <c r="C1054" s="35" t="s">
        <v>155</v>
      </c>
      <c r="D1054" s="35" t="s">
        <v>195</v>
      </c>
      <c r="E1054" s="35" t="s">
        <v>1467</v>
      </c>
      <c r="F1054" s="35" t="s">
        <v>3456</v>
      </c>
      <c r="G1054" s="55" t="s">
        <v>3602</v>
      </c>
    </row>
    <row r="1055" spans="1:7" ht="12.5" x14ac:dyDescent="0.25">
      <c r="A1055" s="54">
        <v>736</v>
      </c>
      <c r="B1055" s="35" t="s">
        <v>3551</v>
      </c>
      <c r="C1055" s="35" t="s">
        <v>155</v>
      </c>
      <c r="D1055" s="35" t="s">
        <v>195</v>
      </c>
      <c r="E1055" s="35" t="s">
        <v>25</v>
      </c>
      <c r="F1055" s="35" t="s">
        <v>3575</v>
      </c>
      <c r="G1055" s="55" t="s">
        <v>3603</v>
      </c>
    </row>
    <row r="1056" spans="1:7" ht="12.5" x14ac:dyDescent="0.25">
      <c r="A1056" s="54">
        <v>737</v>
      </c>
      <c r="B1056" s="35" t="s">
        <v>3559</v>
      </c>
      <c r="C1056" s="35" t="s">
        <v>155</v>
      </c>
      <c r="D1056" s="35" t="s">
        <v>195</v>
      </c>
      <c r="E1056" s="35" t="s">
        <v>221</v>
      </c>
      <c r="F1056" s="35" t="s">
        <v>3475</v>
      </c>
      <c r="G1056" s="55" t="s">
        <v>3604</v>
      </c>
    </row>
    <row r="1057" spans="1:7" ht="12.5" x14ac:dyDescent="0.25">
      <c r="A1057" s="54">
        <v>738</v>
      </c>
      <c r="B1057" s="35" t="s">
        <v>3572</v>
      </c>
      <c r="C1057" s="35" t="s">
        <v>155</v>
      </c>
      <c r="D1057" s="35" t="s">
        <v>195</v>
      </c>
      <c r="E1057" s="35" t="s">
        <v>64</v>
      </c>
      <c r="F1057" s="35" t="s">
        <v>3500</v>
      </c>
      <c r="G1057" s="55" t="s">
        <v>3605</v>
      </c>
    </row>
    <row r="1058" spans="1:7" ht="12.5" x14ac:dyDescent="0.25">
      <c r="A1058" s="54">
        <v>739</v>
      </c>
      <c r="B1058" s="35" t="s">
        <v>3556</v>
      </c>
      <c r="C1058" s="35" t="s">
        <v>155</v>
      </c>
      <c r="D1058" s="35" t="s">
        <v>195</v>
      </c>
      <c r="E1058" s="35" t="s">
        <v>64</v>
      </c>
      <c r="F1058" s="35" t="s">
        <v>3606</v>
      </c>
      <c r="G1058" s="55" t="s">
        <v>3607</v>
      </c>
    </row>
    <row r="1059" spans="1:7" ht="12.5" x14ac:dyDescent="0.25">
      <c r="A1059" s="54">
        <v>740</v>
      </c>
      <c r="B1059" s="35" t="s">
        <v>3559</v>
      </c>
      <c r="C1059" s="35" t="s">
        <v>144</v>
      </c>
      <c r="D1059" s="35" t="s">
        <v>195</v>
      </c>
      <c r="E1059" s="35" t="s">
        <v>224</v>
      </c>
      <c r="F1059" s="35" t="s">
        <v>3562</v>
      </c>
      <c r="G1059" s="55" t="s">
        <v>3608</v>
      </c>
    </row>
    <row r="1060" spans="1:7" ht="12.5" x14ac:dyDescent="0.25">
      <c r="A1060" s="54">
        <v>741</v>
      </c>
      <c r="B1060" s="35" t="s">
        <v>3577</v>
      </c>
      <c r="C1060" s="35" t="s">
        <v>155</v>
      </c>
      <c r="D1060" s="35" t="s">
        <v>195</v>
      </c>
      <c r="E1060" s="35" t="s">
        <v>101</v>
      </c>
      <c r="F1060" s="35" t="s">
        <v>3609</v>
      </c>
      <c r="G1060" s="55" t="s">
        <v>3610</v>
      </c>
    </row>
    <row r="1061" spans="1:7" ht="12.5" x14ac:dyDescent="0.25">
      <c r="A1061" s="54">
        <v>742</v>
      </c>
      <c r="B1061" s="35" t="s">
        <v>3545</v>
      </c>
      <c r="C1061" s="35" t="s">
        <v>155</v>
      </c>
      <c r="D1061" s="35" t="s">
        <v>195</v>
      </c>
      <c r="E1061" s="35" t="s">
        <v>1470</v>
      </c>
      <c r="F1061" s="35" t="s">
        <v>2811</v>
      </c>
      <c r="G1061" s="55" t="s">
        <v>3611</v>
      </c>
    </row>
    <row r="1062" spans="1:7" ht="12.5" x14ac:dyDescent="0.25">
      <c r="A1062" s="54">
        <v>743</v>
      </c>
      <c r="B1062" s="35" t="s">
        <v>3545</v>
      </c>
      <c r="C1062" s="35" t="s">
        <v>144</v>
      </c>
      <c r="D1062" s="35" t="s">
        <v>195</v>
      </c>
      <c r="E1062" s="35" t="s">
        <v>1471</v>
      </c>
      <c r="F1062" s="35" t="s">
        <v>3612</v>
      </c>
      <c r="G1062" s="55" t="s">
        <v>3613</v>
      </c>
    </row>
    <row r="1063" spans="1:7" ht="12.5" x14ac:dyDescent="0.25">
      <c r="A1063" s="54">
        <v>744</v>
      </c>
      <c r="B1063" s="35" t="s">
        <v>3614</v>
      </c>
      <c r="C1063" s="35" t="s">
        <v>16</v>
      </c>
      <c r="D1063" s="35" t="s">
        <v>52</v>
      </c>
      <c r="E1063" s="35" t="s">
        <v>211</v>
      </c>
      <c r="F1063" s="35" t="s">
        <v>3566</v>
      </c>
      <c r="G1063" s="55" t="s">
        <v>3615</v>
      </c>
    </row>
    <row r="1064" spans="1:7" ht="12.5" x14ac:dyDescent="0.25">
      <c r="A1064" s="54">
        <v>745</v>
      </c>
      <c r="B1064" s="35" t="s">
        <v>3616</v>
      </c>
      <c r="C1064" s="35" t="s">
        <v>16</v>
      </c>
      <c r="D1064" s="35" t="s">
        <v>52</v>
      </c>
      <c r="E1064" s="35" t="s">
        <v>1476</v>
      </c>
      <c r="F1064" s="35" t="s">
        <v>3617</v>
      </c>
      <c r="G1064" s="55" t="s">
        <v>3618</v>
      </c>
    </row>
    <row r="1065" spans="1:7" ht="12.5" x14ac:dyDescent="0.25">
      <c r="A1065" s="54">
        <v>746</v>
      </c>
      <c r="B1065" s="35" t="s">
        <v>3619</v>
      </c>
      <c r="C1065" s="35" t="s">
        <v>16</v>
      </c>
      <c r="D1065" s="35" t="s">
        <v>52</v>
      </c>
      <c r="E1065" s="35" t="s">
        <v>1476</v>
      </c>
      <c r="F1065" s="35" t="s">
        <v>3560</v>
      </c>
      <c r="G1065" s="55" t="s">
        <v>3620</v>
      </c>
    </row>
    <row r="1066" spans="1:7" ht="12.5" x14ac:dyDescent="0.25">
      <c r="A1066" s="54">
        <v>747</v>
      </c>
      <c r="B1066" s="35" t="s">
        <v>3621</v>
      </c>
      <c r="C1066" s="35" t="s">
        <v>16</v>
      </c>
      <c r="D1066" s="35" t="s">
        <v>52</v>
      </c>
      <c r="E1066" s="35" t="s">
        <v>198</v>
      </c>
      <c r="F1066" s="35" t="s">
        <v>3429</v>
      </c>
      <c r="G1066" s="55" t="s">
        <v>3622</v>
      </c>
    </row>
    <row r="1067" spans="1:7" ht="12.5" x14ac:dyDescent="0.25">
      <c r="A1067" s="54">
        <v>748</v>
      </c>
      <c r="B1067" s="35" t="s">
        <v>3623</v>
      </c>
      <c r="C1067" s="35" t="s">
        <v>16</v>
      </c>
      <c r="D1067" s="35" t="s">
        <v>52</v>
      </c>
      <c r="E1067" s="35" t="s">
        <v>1481</v>
      </c>
      <c r="F1067" s="35" t="s">
        <v>3456</v>
      </c>
      <c r="G1067" s="55" t="s">
        <v>3624</v>
      </c>
    </row>
    <row r="1068" spans="1:7" ht="12.5" x14ac:dyDescent="0.25">
      <c r="A1068" s="54">
        <v>749</v>
      </c>
      <c r="B1068" s="35" t="s">
        <v>3625</v>
      </c>
      <c r="C1068" s="35" t="s">
        <v>16</v>
      </c>
      <c r="D1068" s="35" t="s">
        <v>195</v>
      </c>
      <c r="E1068" s="35" t="s">
        <v>14</v>
      </c>
      <c r="F1068" s="35" t="s">
        <v>3626</v>
      </c>
      <c r="G1068" s="55" t="s">
        <v>3627</v>
      </c>
    </row>
    <row r="1069" spans="1:7" ht="12.5" x14ac:dyDescent="0.25">
      <c r="A1069" s="54">
        <v>750</v>
      </c>
      <c r="B1069" s="35" t="s">
        <v>3628</v>
      </c>
      <c r="C1069" s="35" t="s">
        <v>16</v>
      </c>
      <c r="D1069" s="35" t="s">
        <v>195</v>
      </c>
      <c r="E1069" s="35" t="s">
        <v>1175</v>
      </c>
      <c r="F1069" s="35" t="s">
        <v>2843</v>
      </c>
      <c r="G1069" s="55" t="s">
        <v>3629</v>
      </c>
    </row>
    <row r="1070" spans="1:7" ht="12.5" x14ac:dyDescent="0.25">
      <c r="A1070" s="54">
        <v>751</v>
      </c>
      <c r="B1070" s="35" t="s">
        <v>3630</v>
      </c>
      <c r="C1070" s="35" t="s">
        <v>16</v>
      </c>
      <c r="D1070" s="35" t="s">
        <v>195</v>
      </c>
      <c r="E1070" s="35" t="s">
        <v>1175</v>
      </c>
      <c r="F1070" s="35" t="s">
        <v>2505</v>
      </c>
      <c r="G1070" s="55" t="s">
        <v>3631</v>
      </c>
    </row>
    <row r="1071" spans="1:7" ht="12.5" x14ac:dyDescent="0.25">
      <c r="A1071" s="54">
        <v>752</v>
      </c>
      <c r="B1071" s="35" t="s">
        <v>3632</v>
      </c>
      <c r="C1071" s="35" t="s">
        <v>16</v>
      </c>
      <c r="D1071" s="35" t="s">
        <v>195</v>
      </c>
      <c r="E1071" s="35" t="s">
        <v>25</v>
      </c>
      <c r="F1071" s="35" t="s">
        <v>2833</v>
      </c>
      <c r="G1071" s="55" t="s">
        <v>3633</v>
      </c>
    </row>
    <row r="1072" spans="1:7" ht="12.5" x14ac:dyDescent="0.25">
      <c r="A1072" s="54">
        <v>753</v>
      </c>
      <c r="B1072" s="35" t="s">
        <v>3634</v>
      </c>
      <c r="C1072" s="35" t="s">
        <v>16</v>
      </c>
      <c r="D1072" s="35" t="s">
        <v>195</v>
      </c>
      <c r="E1072" s="35" t="s">
        <v>1490</v>
      </c>
      <c r="F1072" s="35" t="s">
        <v>3635</v>
      </c>
      <c r="G1072" s="55" t="s">
        <v>3636</v>
      </c>
    </row>
    <row r="1073" spans="1:7" ht="12.5" x14ac:dyDescent="0.25">
      <c r="A1073" s="54">
        <v>754</v>
      </c>
      <c r="B1073" s="35" t="s">
        <v>3637</v>
      </c>
      <c r="C1073" s="35" t="s">
        <v>16</v>
      </c>
      <c r="D1073" s="35" t="s">
        <v>195</v>
      </c>
      <c r="E1073" s="35" t="s">
        <v>1492</v>
      </c>
      <c r="F1073" s="35" t="s">
        <v>3638</v>
      </c>
      <c r="G1073" s="55" t="s">
        <v>3639</v>
      </c>
    </row>
    <row r="1074" spans="1:7" ht="12.5" x14ac:dyDescent="0.25">
      <c r="A1074" s="54">
        <v>755</v>
      </c>
      <c r="B1074" s="35" t="s">
        <v>3640</v>
      </c>
      <c r="C1074" s="35" t="s">
        <v>16</v>
      </c>
      <c r="D1074" s="35" t="s">
        <v>13</v>
      </c>
      <c r="E1074" s="35" t="s">
        <v>210</v>
      </c>
      <c r="F1074" s="35" t="s">
        <v>3508</v>
      </c>
      <c r="G1074" s="55" t="s">
        <v>3641</v>
      </c>
    </row>
    <row r="1075" spans="1:7" ht="12.5" x14ac:dyDescent="0.25">
      <c r="A1075" s="54">
        <v>756</v>
      </c>
      <c r="B1075" s="35" t="s">
        <v>3642</v>
      </c>
      <c r="C1075" s="35" t="s">
        <v>16</v>
      </c>
      <c r="D1075" s="35" t="s">
        <v>13</v>
      </c>
      <c r="E1075" s="35" t="s">
        <v>198</v>
      </c>
      <c r="F1075" s="35" t="s">
        <v>3643</v>
      </c>
      <c r="G1075" s="55" t="s">
        <v>3644</v>
      </c>
    </row>
    <row r="1076" spans="1:7" ht="12.5" x14ac:dyDescent="0.25">
      <c r="A1076" s="54">
        <v>757</v>
      </c>
      <c r="B1076" s="35" t="s">
        <v>3645</v>
      </c>
      <c r="C1076" s="35" t="s">
        <v>16</v>
      </c>
      <c r="D1076" s="35" t="s">
        <v>31</v>
      </c>
      <c r="E1076" s="35" t="s">
        <v>210</v>
      </c>
      <c r="F1076" s="35" t="s">
        <v>3646</v>
      </c>
      <c r="G1076" s="55" t="s">
        <v>3647</v>
      </c>
    </row>
    <row r="1077" spans="1:7" ht="12.5" x14ac:dyDescent="0.25">
      <c r="A1077" s="54">
        <v>758</v>
      </c>
      <c r="B1077" s="35" t="s">
        <v>3648</v>
      </c>
      <c r="C1077" s="35" t="s">
        <v>16</v>
      </c>
      <c r="D1077" s="35" t="s">
        <v>31</v>
      </c>
      <c r="E1077" s="35" t="s">
        <v>210</v>
      </c>
      <c r="F1077" s="35" t="s">
        <v>3448</v>
      </c>
      <c r="G1077" s="55" t="s">
        <v>3649</v>
      </c>
    </row>
    <row r="1078" spans="1:7" ht="12.5" x14ac:dyDescent="0.25">
      <c r="A1078" s="54">
        <v>759</v>
      </c>
      <c r="B1078" s="35" t="s">
        <v>3650</v>
      </c>
      <c r="C1078" s="35" t="s">
        <v>16</v>
      </c>
      <c r="D1078" s="35" t="s">
        <v>31</v>
      </c>
      <c r="E1078" s="35" t="s">
        <v>198</v>
      </c>
      <c r="F1078" s="35" t="s">
        <v>3562</v>
      </c>
      <c r="G1078" s="55" t="s">
        <v>3651</v>
      </c>
    </row>
    <row r="1079" spans="1:7" ht="12.5" x14ac:dyDescent="0.25">
      <c r="A1079" s="54">
        <v>760</v>
      </c>
      <c r="B1079" s="35" t="s">
        <v>3652</v>
      </c>
      <c r="C1079" s="35" t="s">
        <v>16</v>
      </c>
      <c r="D1079" s="35" t="s">
        <v>31</v>
      </c>
      <c r="E1079" s="35" t="s">
        <v>198</v>
      </c>
      <c r="F1079" s="35" t="s">
        <v>3653</v>
      </c>
      <c r="G1079" s="55" t="s">
        <v>3654</v>
      </c>
    </row>
    <row r="1080" spans="1:7" ht="12.5" x14ac:dyDescent="0.25">
      <c r="A1080" s="54">
        <v>761</v>
      </c>
      <c r="B1080" s="35" t="s">
        <v>3650</v>
      </c>
      <c r="C1080" s="35" t="s">
        <v>50</v>
      </c>
      <c r="D1080" s="35" t="s">
        <v>41</v>
      </c>
      <c r="E1080" s="35" t="s">
        <v>426</v>
      </c>
      <c r="F1080" s="35" t="s">
        <v>2625</v>
      </c>
      <c r="G1080" s="55" t="s">
        <v>3655</v>
      </c>
    </row>
    <row r="1081" spans="1:7" ht="12.5" x14ac:dyDescent="0.25">
      <c r="A1081" s="54">
        <v>762</v>
      </c>
      <c r="B1081" s="35" t="s">
        <v>3656</v>
      </c>
      <c r="C1081" s="35" t="s">
        <v>16</v>
      </c>
      <c r="D1081" s="35" t="s">
        <v>41</v>
      </c>
      <c r="E1081" s="35" t="s">
        <v>1503</v>
      </c>
      <c r="F1081" s="35" t="s">
        <v>3599</v>
      </c>
      <c r="G1081" s="55" t="s">
        <v>3657</v>
      </c>
    </row>
    <row r="1082" spans="1:7" ht="12.5" x14ac:dyDescent="0.25">
      <c r="A1082" s="54">
        <v>763</v>
      </c>
      <c r="B1082" s="35" t="s">
        <v>3658</v>
      </c>
      <c r="C1082" s="35" t="s">
        <v>16</v>
      </c>
      <c r="D1082" s="35" t="s">
        <v>41</v>
      </c>
      <c r="E1082" s="35" t="s">
        <v>64</v>
      </c>
      <c r="F1082" s="35" t="s">
        <v>3659</v>
      </c>
      <c r="G1082" s="55" t="s">
        <v>3660</v>
      </c>
    </row>
    <row r="1083" spans="1:7" ht="12.5" x14ac:dyDescent="0.25">
      <c r="A1083" s="54">
        <v>764</v>
      </c>
      <c r="B1083" s="35" t="s">
        <v>3661</v>
      </c>
      <c r="C1083" s="35" t="s">
        <v>16</v>
      </c>
      <c r="D1083" s="35" t="s">
        <v>41</v>
      </c>
      <c r="E1083" s="35" t="s">
        <v>64</v>
      </c>
      <c r="F1083" s="35" t="s">
        <v>3662</v>
      </c>
      <c r="G1083" s="55" t="s">
        <v>3663</v>
      </c>
    </row>
    <row r="1084" spans="1:7" ht="12.5" x14ac:dyDescent="0.25">
      <c r="A1084" s="54">
        <v>765</v>
      </c>
      <c r="B1084" s="35" t="s">
        <v>3640</v>
      </c>
      <c r="C1084" s="35" t="s">
        <v>50</v>
      </c>
      <c r="D1084" s="35" t="s">
        <v>41</v>
      </c>
      <c r="E1084" s="35" t="s">
        <v>138</v>
      </c>
      <c r="F1084" s="35" t="s">
        <v>3490</v>
      </c>
      <c r="G1084" s="55" t="s">
        <v>3664</v>
      </c>
    </row>
    <row r="1085" spans="1:7" ht="12.5" x14ac:dyDescent="0.25">
      <c r="A1085" s="54">
        <v>766</v>
      </c>
      <c r="B1085" s="35" t="s">
        <v>3665</v>
      </c>
      <c r="C1085" s="35" t="s">
        <v>16</v>
      </c>
      <c r="D1085" s="35" t="s">
        <v>47</v>
      </c>
      <c r="E1085" s="35" t="s">
        <v>14</v>
      </c>
      <c r="F1085" s="35" t="s">
        <v>3597</v>
      </c>
      <c r="G1085" s="55" t="s">
        <v>3666</v>
      </c>
    </row>
    <row r="1086" spans="1:7" ht="12.5" x14ac:dyDescent="0.25">
      <c r="A1086" s="54">
        <v>767</v>
      </c>
      <c r="B1086" s="35" t="s">
        <v>3667</v>
      </c>
      <c r="C1086" s="35" t="s">
        <v>50</v>
      </c>
      <c r="D1086" s="35" t="s">
        <v>47</v>
      </c>
      <c r="E1086" s="35" t="s">
        <v>426</v>
      </c>
      <c r="F1086" s="35" t="s">
        <v>3612</v>
      </c>
      <c r="G1086" s="55" t="s">
        <v>3668</v>
      </c>
    </row>
    <row r="1087" spans="1:7" ht="12.5" x14ac:dyDescent="0.25">
      <c r="A1087" s="54">
        <v>768</v>
      </c>
      <c r="B1087" s="35" t="s">
        <v>3669</v>
      </c>
      <c r="C1087" s="35" t="s">
        <v>16</v>
      </c>
      <c r="D1087" s="35" t="s">
        <v>47</v>
      </c>
      <c r="E1087" s="35" t="s">
        <v>64</v>
      </c>
      <c r="F1087" s="35" t="s">
        <v>3670</v>
      </c>
      <c r="G1087" s="55" t="s">
        <v>3671</v>
      </c>
    </row>
    <row r="1088" spans="1:7" ht="12.5" x14ac:dyDescent="0.25">
      <c r="A1088" s="54">
        <v>769</v>
      </c>
      <c r="B1088" s="35" t="s">
        <v>3672</v>
      </c>
      <c r="C1088" s="35" t="s">
        <v>16</v>
      </c>
      <c r="D1088" s="35" t="s">
        <v>47</v>
      </c>
      <c r="E1088" s="35" t="s">
        <v>64</v>
      </c>
      <c r="F1088" s="35" t="s">
        <v>3566</v>
      </c>
      <c r="G1088" s="55" t="s">
        <v>3673</v>
      </c>
    </row>
    <row r="1089" spans="1:7" ht="12.5" x14ac:dyDescent="0.25">
      <c r="A1089" s="54">
        <v>770</v>
      </c>
      <c r="B1089" s="35" t="s">
        <v>3648</v>
      </c>
      <c r="C1089" s="35" t="s">
        <v>50</v>
      </c>
      <c r="D1089" s="35" t="s">
        <v>47</v>
      </c>
      <c r="E1089" s="35" t="s">
        <v>502</v>
      </c>
      <c r="F1089" s="35" t="s">
        <v>3508</v>
      </c>
      <c r="G1089" s="55" t="s">
        <v>3674</v>
      </c>
    </row>
    <row r="1090" spans="1:7" ht="12.5" x14ac:dyDescent="0.25">
      <c r="A1090" s="54">
        <v>771</v>
      </c>
      <c r="B1090" s="35" t="s">
        <v>3675</v>
      </c>
      <c r="C1090" s="35" t="s">
        <v>16</v>
      </c>
      <c r="D1090" s="35" t="s">
        <v>52</v>
      </c>
      <c r="E1090" s="35" t="s">
        <v>14</v>
      </c>
      <c r="F1090" s="35" t="s">
        <v>3612</v>
      </c>
      <c r="G1090" s="55" t="s">
        <v>3676</v>
      </c>
    </row>
    <row r="1091" spans="1:7" ht="12.5" x14ac:dyDescent="0.25">
      <c r="A1091" s="54">
        <v>772</v>
      </c>
      <c r="B1091" s="35" t="s">
        <v>3677</v>
      </c>
      <c r="C1091" s="35" t="s">
        <v>16</v>
      </c>
      <c r="D1091" s="35" t="s">
        <v>52</v>
      </c>
      <c r="E1091" s="35" t="s">
        <v>64</v>
      </c>
      <c r="F1091" s="35" t="s">
        <v>3592</v>
      </c>
      <c r="G1091" s="55" t="s">
        <v>3678</v>
      </c>
    </row>
    <row r="1092" spans="1:7" ht="12.5" x14ac:dyDescent="0.25">
      <c r="A1092" s="54">
        <v>773</v>
      </c>
      <c r="B1092" s="35" t="s">
        <v>3661</v>
      </c>
      <c r="C1092" s="35" t="s">
        <v>50</v>
      </c>
      <c r="D1092" s="35" t="s">
        <v>52</v>
      </c>
      <c r="E1092" s="35" t="s">
        <v>49</v>
      </c>
      <c r="F1092" s="35" t="s">
        <v>3534</v>
      </c>
      <c r="G1092" s="55" t="s">
        <v>3679</v>
      </c>
    </row>
    <row r="1093" spans="1:7" ht="12.5" x14ac:dyDescent="0.25">
      <c r="A1093" s="54">
        <v>774</v>
      </c>
      <c r="B1093" s="35" t="s">
        <v>3669</v>
      </c>
      <c r="C1093" s="35" t="s">
        <v>50</v>
      </c>
      <c r="D1093" s="35" t="s">
        <v>52</v>
      </c>
      <c r="E1093" s="35" t="s">
        <v>138</v>
      </c>
      <c r="F1093" s="35" t="s">
        <v>3502</v>
      </c>
      <c r="G1093" s="55" t="s">
        <v>3680</v>
      </c>
    </row>
    <row r="1094" spans="1:7" ht="12.5" x14ac:dyDescent="0.25">
      <c r="A1094" s="56">
        <v>775</v>
      </c>
      <c r="B1094" s="57" t="s">
        <v>3672</v>
      </c>
      <c r="C1094" s="57" t="s">
        <v>50</v>
      </c>
      <c r="D1094" s="57" t="s">
        <v>52</v>
      </c>
      <c r="E1094" s="57" t="s">
        <v>138</v>
      </c>
      <c r="F1094" s="57" t="s">
        <v>3681</v>
      </c>
      <c r="G1094" s="58" t="s">
        <v>3682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Y998"/>
  <sheetViews>
    <sheetView workbookViewId="0">
      <pane ySplit="1" topLeftCell="A595" activePane="bottomLeft" state="frozen"/>
      <selection pane="bottomLeft" activeCell="G170" sqref="G170"/>
    </sheetView>
  </sheetViews>
  <sheetFormatPr defaultColWidth="12.6328125" defaultRowHeight="15.75" customHeight="1" x14ac:dyDescent="0.25"/>
  <cols>
    <col min="1" max="1" width="7.453125" style="41" customWidth="1"/>
    <col min="3" max="3" width="24.36328125" customWidth="1"/>
    <col min="4" max="4" width="31" customWidth="1"/>
    <col min="5" max="6" width="9.90625" style="41" customWidth="1"/>
    <col min="7" max="7" width="77.36328125" customWidth="1"/>
  </cols>
  <sheetData>
    <row r="1" spans="1:25" ht="13" x14ac:dyDescent="0.3">
      <c r="A1" s="21" t="s">
        <v>1518</v>
      </c>
      <c r="B1" s="21" t="s">
        <v>3683</v>
      </c>
      <c r="C1" s="21" t="s">
        <v>3684</v>
      </c>
      <c r="D1" s="21" t="s">
        <v>3685</v>
      </c>
      <c r="E1" s="21" t="s">
        <v>3686</v>
      </c>
      <c r="F1" s="21" t="s">
        <v>1523</v>
      </c>
      <c r="G1" s="22" t="s">
        <v>1522</v>
      </c>
      <c r="H1" s="21" t="s">
        <v>3683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3" x14ac:dyDescent="0.3">
      <c r="A2" s="23">
        <v>1</v>
      </c>
      <c r="B2" s="24" t="s">
        <v>1563</v>
      </c>
      <c r="C2" s="24" t="s">
        <v>1563</v>
      </c>
      <c r="D2" s="24" t="s">
        <v>3687</v>
      </c>
      <c r="E2" s="23">
        <v>20</v>
      </c>
      <c r="F2" s="23" t="s">
        <v>1526</v>
      </c>
      <c r="G2" s="25" t="str">
        <f t="shared" ref="G2:G256" si="0">CONCATENATE("('",B2,"','",C2,"','",D2,"','",E2,"','",F2,"'),")</f>
        <v>('20 ARL 405 A','20 ARL 405 A','Wing 20 Level 4 Dept Arsitektur Lanskap','20','a'),</v>
      </c>
      <c r="H2" s="24" t="str">
        <f t="shared" ref="H2:H65" si="1">B2</f>
        <v>20 ARL 405 A</v>
      </c>
      <c r="K2" s="9"/>
    </row>
    <row r="3" spans="1:25" ht="13" x14ac:dyDescent="0.3">
      <c r="A3" s="23">
        <v>2</v>
      </c>
      <c r="B3" s="24" t="s">
        <v>1570</v>
      </c>
      <c r="C3" s="24" t="s">
        <v>1570</v>
      </c>
      <c r="D3" s="24" t="s">
        <v>3687</v>
      </c>
      <c r="E3" s="23">
        <v>20</v>
      </c>
      <c r="F3" s="23" t="s">
        <v>1526</v>
      </c>
      <c r="G3" s="25" t="str">
        <f t="shared" si="0"/>
        <v>('20 ARL 405 B','20 ARL 405 B','Wing 20 Level 4 Dept Arsitektur Lanskap','20','a'),</v>
      </c>
      <c r="H3" s="24" t="str">
        <f t="shared" si="1"/>
        <v>20 ARL 405 B</v>
      </c>
      <c r="I3" s="9"/>
      <c r="J3" s="9"/>
      <c r="K3" s="9"/>
      <c r="L3" s="9"/>
    </row>
    <row r="4" spans="1:25" ht="13" x14ac:dyDescent="0.3">
      <c r="A4" s="23">
        <v>3</v>
      </c>
      <c r="B4" s="24" t="s">
        <v>1600</v>
      </c>
      <c r="C4" s="24" t="s">
        <v>3688</v>
      </c>
      <c r="D4" s="24" t="s">
        <v>3689</v>
      </c>
      <c r="E4" s="23">
        <v>285</v>
      </c>
      <c r="F4" s="23" t="s">
        <v>1526</v>
      </c>
      <c r="G4" s="25" t="str">
        <f t="shared" si="0"/>
        <v>('A00000BD','RK. Gedung Kuliah A','Antara NodeB-D-Exst Ftta, Gedung Faperta','285','a'),</v>
      </c>
      <c r="H4" s="24" t="str">
        <f t="shared" si="1"/>
        <v>A00000BD</v>
      </c>
      <c r="J4" s="9"/>
      <c r="K4" s="9"/>
      <c r="L4" s="9"/>
    </row>
    <row r="5" spans="1:25" ht="13" x14ac:dyDescent="0.3">
      <c r="A5" s="23">
        <v>4</v>
      </c>
      <c r="B5" s="24" t="s">
        <v>1581</v>
      </c>
      <c r="C5" s="24" t="s">
        <v>3690</v>
      </c>
      <c r="D5" s="24" t="s">
        <v>3691</v>
      </c>
      <c r="E5" s="23">
        <v>120</v>
      </c>
      <c r="F5" s="23" t="s">
        <v>1526</v>
      </c>
      <c r="G5" s="25" t="str">
        <f t="shared" si="0"/>
        <v>('A0003B21','RK. OFAC 3 B2 (R. Pinus 1)','Antara Node D-E-F / 1 Gedung Faperta','120','a'),</v>
      </c>
      <c r="H5" s="24" t="str">
        <f t="shared" si="1"/>
        <v>A0003B21</v>
      </c>
      <c r="J5" s="9"/>
      <c r="K5" s="9"/>
      <c r="L5" s="9"/>
    </row>
    <row r="6" spans="1:25" ht="13" x14ac:dyDescent="0.3">
      <c r="A6" s="23">
        <v>5</v>
      </c>
      <c r="B6" s="24" t="s">
        <v>1609</v>
      </c>
      <c r="C6" s="24" t="s">
        <v>3692</v>
      </c>
      <c r="D6" s="24" t="s">
        <v>3693</v>
      </c>
      <c r="E6" s="23">
        <v>120</v>
      </c>
      <c r="F6" s="23" t="s">
        <v>1526</v>
      </c>
      <c r="G6" s="25" t="str">
        <f t="shared" si="0"/>
        <v>('A0003B22','RK. OFAC 3 B2 (R. Pinus 2)','Antara Node D-E-F / 2 Gedung Faperta','120','a'),</v>
      </c>
      <c r="H6" s="24" t="str">
        <f t="shared" si="1"/>
        <v>A0003B22</v>
      </c>
      <c r="J6" s="9"/>
      <c r="K6" s="9"/>
      <c r="L6" s="9"/>
    </row>
    <row r="7" spans="1:25" ht="13" x14ac:dyDescent="0.3">
      <c r="A7" s="23">
        <v>6</v>
      </c>
      <c r="B7" s="24" t="s">
        <v>1697</v>
      </c>
      <c r="C7" s="24" t="s">
        <v>3694</v>
      </c>
      <c r="D7" s="24" t="s">
        <v>3695</v>
      </c>
      <c r="E7" s="23">
        <v>120</v>
      </c>
      <c r="F7" s="23" t="s">
        <v>1526</v>
      </c>
      <c r="G7" s="25" t="str">
        <f t="shared" si="0"/>
        <v>('A0004B11','RK. OFAC 4 B11','Antara Node G-I-J Gedung Faperta','120','a'),</v>
      </c>
      <c r="H7" s="24" t="str">
        <f t="shared" si="1"/>
        <v>A0004B11</v>
      </c>
      <c r="J7" s="9"/>
      <c r="K7" s="9"/>
      <c r="L7" s="9"/>
    </row>
    <row r="8" spans="1:25" ht="13" x14ac:dyDescent="0.3">
      <c r="A8" s="23">
        <v>7</v>
      </c>
      <c r="B8" s="24" t="s">
        <v>1587</v>
      </c>
      <c r="C8" s="24" t="s">
        <v>3696</v>
      </c>
      <c r="D8" s="24" t="s">
        <v>3697</v>
      </c>
      <c r="E8" s="23">
        <v>120</v>
      </c>
      <c r="F8" s="23" t="s">
        <v>1526</v>
      </c>
      <c r="G8" s="25" t="str">
        <f t="shared" si="0"/>
        <v>('A0004B12','RK. OFAC 4 B12','Antara Node F-H-I Gedung Faperta','120','a'),</v>
      </c>
      <c r="H8" s="24" t="str">
        <f t="shared" si="1"/>
        <v>A0004B12</v>
      </c>
      <c r="J8" s="9"/>
      <c r="K8" s="9"/>
      <c r="L8" s="9"/>
    </row>
    <row r="9" spans="1:25" ht="13" x14ac:dyDescent="0.3">
      <c r="A9" s="23">
        <v>8</v>
      </c>
      <c r="B9" s="24" t="s">
        <v>1624</v>
      </c>
      <c r="C9" s="24" t="s">
        <v>3698</v>
      </c>
      <c r="D9" s="24" t="s">
        <v>3699</v>
      </c>
      <c r="E9" s="23">
        <v>120</v>
      </c>
      <c r="F9" s="23" t="s">
        <v>1526</v>
      </c>
      <c r="G9" s="25" t="str">
        <f t="shared" si="0"/>
        <v>('A000B1C1','RK. B1 - C1','Auditorium Bawah Faperta','120','a'),</v>
      </c>
      <c r="H9" s="24" t="str">
        <f t="shared" si="1"/>
        <v>A000B1C1</v>
      </c>
      <c r="J9" s="9"/>
      <c r="K9" s="9"/>
      <c r="L9" s="9"/>
    </row>
    <row r="10" spans="1:25" ht="13" x14ac:dyDescent="0.3">
      <c r="A10" s="23">
        <v>9</v>
      </c>
      <c r="B10" s="24" t="s">
        <v>1659</v>
      </c>
      <c r="C10" s="24" t="s">
        <v>3700</v>
      </c>
      <c r="D10" s="24" t="s">
        <v>3699</v>
      </c>
      <c r="E10" s="23">
        <v>120</v>
      </c>
      <c r="F10" s="23" t="s">
        <v>1526</v>
      </c>
      <c r="G10" s="25" t="str">
        <f t="shared" si="0"/>
        <v>('A000B1C2','RK. B1 - C2','Auditorium Bawah Faperta','120','a'),</v>
      </c>
      <c r="H10" s="24" t="str">
        <f t="shared" si="1"/>
        <v>A000B1C2</v>
      </c>
      <c r="J10" s="9"/>
      <c r="K10" s="9"/>
      <c r="L10" s="9"/>
    </row>
    <row r="11" spans="1:25" ht="13" x14ac:dyDescent="0.3">
      <c r="A11" s="23">
        <v>10</v>
      </c>
      <c r="B11" s="24" t="s">
        <v>1557</v>
      </c>
      <c r="C11" s="24" t="s">
        <v>3701</v>
      </c>
      <c r="D11" s="24" t="s">
        <v>3699</v>
      </c>
      <c r="E11" s="23">
        <v>120</v>
      </c>
      <c r="F11" s="23" t="s">
        <v>1526</v>
      </c>
      <c r="G11" s="25" t="str">
        <f t="shared" si="0"/>
        <v>('A000B1C3','RK. B1 - C3','Auditorium Bawah Faperta','120','a'),</v>
      </c>
      <c r="H11" s="24" t="str">
        <f t="shared" si="1"/>
        <v>A000B1C3</v>
      </c>
      <c r="J11" s="9"/>
      <c r="K11" s="9"/>
      <c r="L11" s="9"/>
    </row>
    <row r="12" spans="1:25" ht="13" x14ac:dyDescent="0.3">
      <c r="A12" s="23">
        <v>11</v>
      </c>
      <c r="B12" s="24" t="s">
        <v>1573</v>
      </c>
      <c r="C12" s="24" t="s">
        <v>3702</v>
      </c>
      <c r="D12" s="24" t="s">
        <v>3703</v>
      </c>
      <c r="E12" s="23">
        <v>0</v>
      </c>
      <c r="F12" s="23" t="s">
        <v>1526</v>
      </c>
      <c r="G12" s="25" t="str">
        <f t="shared" si="0"/>
        <v>('A000CKB1','RK. Cikabayan 1','Cikabayan 1','0','a'),</v>
      </c>
      <c r="H12" s="24" t="str">
        <f t="shared" si="1"/>
        <v>A000CKB1</v>
      </c>
      <c r="J12" s="9"/>
      <c r="K12" s="9"/>
      <c r="L12" s="9"/>
    </row>
    <row r="13" spans="1:25" ht="13" x14ac:dyDescent="0.3">
      <c r="A13" s="23">
        <v>12</v>
      </c>
      <c r="B13" s="24" t="s">
        <v>1576</v>
      </c>
      <c r="C13" s="24" t="s">
        <v>3704</v>
      </c>
      <c r="D13" s="24" t="s">
        <v>3705</v>
      </c>
      <c r="E13" s="23">
        <v>0</v>
      </c>
      <c r="F13" s="23" t="s">
        <v>1526</v>
      </c>
      <c r="G13" s="25" t="str">
        <f t="shared" si="0"/>
        <v>('A000CKB2','RK. Cikabayan 2','Cikabayan 2','0','a'),</v>
      </c>
      <c r="H13" s="24" t="str">
        <f t="shared" si="1"/>
        <v>A000CKB2</v>
      </c>
      <c r="J13" s="9"/>
      <c r="K13" s="9"/>
      <c r="L13" s="9"/>
    </row>
    <row r="14" spans="1:25" ht="13" x14ac:dyDescent="0.3">
      <c r="A14" s="23">
        <v>13</v>
      </c>
      <c r="B14" s="24" t="s">
        <v>1619</v>
      </c>
      <c r="C14" s="24" t="s">
        <v>3706</v>
      </c>
      <c r="D14" s="24" t="s">
        <v>3707</v>
      </c>
      <c r="E14" s="23">
        <v>70</v>
      </c>
      <c r="F14" s="23" t="s">
        <v>1526</v>
      </c>
      <c r="G14" s="25" t="str">
        <f t="shared" si="0"/>
        <v>('A000LKP1','RK. Leuwikopo 1','Leuwikopo 1','70','a'),</v>
      </c>
      <c r="H14" s="24" t="str">
        <f t="shared" si="1"/>
        <v>A000LKP1</v>
      </c>
      <c r="J14" s="9"/>
      <c r="K14" s="9"/>
      <c r="L14" s="9"/>
    </row>
    <row r="15" spans="1:25" ht="13" x14ac:dyDescent="0.3">
      <c r="A15" s="23">
        <v>14</v>
      </c>
      <c r="B15" s="24" t="s">
        <v>1603</v>
      </c>
      <c r="C15" s="24" t="s">
        <v>3708</v>
      </c>
      <c r="D15" s="24" t="s">
        <v>3709</v>
      </c>
      <c r="E15" s="23">
        <v>70</v>
      </c>
      <c r="F15" s="23" t="s">
        <v>1526</v>
      </c>
      <c r="G15" s="25" t="str">
        <f t="shared" si="0"/>
        <v>('A000LKP3','RK. Leuwikopo 3','Leuwikopo 3','70','a'),</v>
      </c>
      <c r="H15" s="24" t="str">
        <f t="shared" si="1"/>
        <v>A000LKP3</v>
      </c>
      <c r="L15" s="9"/>
    </row>
    <row r="16" spans="1:25" ht="13" x14ac:dyDescent="0.3">
      <c r="A16" s="23">
        <v>15</v>
      </c>
      <c r="B16" s="24" t="s">
        <v>1715</v>
      </c>
      <c r="C16" s="24" t="s">
        <v>3710</v>
      </c>
      <c r="D16" s="24" t="s">
        <v>3711</v>
      </c>
      <c r="E16" s="23">
        <v>80</v>
      </c>
      <c r="F16" s="23" t="s">
        <v>1526</v>
      </c>
      <c r="G16" s="25" t="str">
        <f t="shared" si="0"/>
        <v>('A0440404','RK. 8 AGR 404','Wing 8 / 4 Gedung Faperta','80','a'),</v>
      </c>
      <c r="H16" s="24" t="str">
        <f t="shared" si="1"/>
        <v>A0440404</v>
      </c>
      <c r="L16" s="9"/>
    </row>
    <row r="17" spans="1:12" ht="13" x14ac:dyDescent="0.3">
      <c r="A17" s="23">
        <v>16</v>
      </c>
      <c r="B17" s="24" t="s">
        <v>1704</v>
      </c>
      <c r="C17" s="24" t="s">
        <v>3712</v>
      </c>
      <c r="D17" s="24" t="s">
        <v>3713</v>
      </c>
      <c r="E17" s="23">
        <v>120</v>
      </c>
      <c r="F17" s="23" t="s">
        <v>1526</v>
      </c>
      <c r="G17" s="25" t="str">
        <f t="shared" si="0"/>
        <v>('A0630301','RK. HPT 301 A-B','Wing 6 / 3 Gedung Faperta','120','a'),</v>
      </c>
      <c r="H17" s="24" t="str">
        <f t="shared" si="1"/>
        <v>A0630301</v>
      </c>
      <c r="L17" s="9"/>
    </row>
    <row r="18" spans="1:12" ht="13" x14ac:dyDescent="0.3">
      <c r="A18" s="23">
        <v>17</v>
      </c>
      <c r="B18" s="24" t="s">
        <v>1636</v>
      </c>
      <c r="C18" s="24" t="s">
        <v>3714</v>
      </c>
      <c r="D18" s="24" t="s">
        <v>3715</v>
      </c>
      <c r="E18" s="23">
        <v>80</v>
      </c>
      <c r="F18" s="23" t="s">
        <v>1526</v>
      </c>
      <c r="G18" s="25" t="str">
        <f t="shared" si="0"/>
        <v>('A0830307','RK. 8 AGR 307','Wing 8 / 3 Gedung Faperta','80','a'),</v>
      </c>
      <c r="H18" s="24" t="str">
        <f t="shared" si="1"/>
        <v>A0830307</v>
      </c>
      <c r="L18" s="9"/>
    </row>
    <row r="19" spans="1:12" ht="13" x14ac:dyDescent="0.3">
      <c r="A19" s="23">
        <v>18</v>
      </c>
      <c r="B19" s="24" t="s">
        <v>1678</v>
      </c>
      <c r="C19" s="24" t="s">
        <v>3716</v>
      </c>
      <c r="D19" s="24" t="s">
        <v>3717</v>
      </c>
      <c r="E19" s="23">
        <v>140</v>
      </c>
      <c r="F19" s="23" t="s">
        <v>1526</v>
      </c>
      <c r="G19" s="25" t="str">
        <f t="shared" si="0"/>
        <v>('A10W5501','RK. 10 FAK 501 (ex Perpus FEM)','Wing 10 / 5 Gedung Faperta','140','a'),</v>
      </c>
      <c r="H19" s="24" t="str">
        <f t="shared" si="1"/>
        <v>A10W5501</v>
      </c>
      <c r="L19" s="9"/>
    </row>
    <row r="20" spans="1:12" ht="13" x14ac:dyDescent="0.3">
      <c r="A20" s="23">
        <v>19</v>
      </c>
      <c r="B20" s="24" t="s">
        <v>1633</v>
      </c>
      <c r="C20" s="24" t="s">
        <v>3718</v>
      </c>
      <c r="D20" s="24" t="s">
        <v>3719</v>
      </c>
      <c r="E20" s="23">
        <v>0</v>
      </c>
      <c r="F20" s="23" t="s">
        <v>1526</v>
      </c>
      <c r="G20" s="25" t="str">
        <f t="shared" si="0"/>
        <v>('A144401A','RK. 14 FAC 401 A','Wing 14 / 4','0','a'),</v>
      </c>
      <c r="H20" s="24" t="str">
        <f t="shared" si="1"/>
        <v>A144401A</v>
      </c>
      <c r="L20" s="9"/>
    </row>
    <row r="21" spans="1:12" ht="13" x14ac:dyDescent="0.3">
      <c r="A21" s="23">
        <v>20</v>
      </c>
      <c r="B21" s="24" t="s">
        <v>3720</v>
      </c>
      <c r="C21" s="24" t="s">
        <v>3721</v>
      </c>
      <c r="D21" s="24" t="s">
        <v>3719</v>
      </c>
      <c r="E21" s="23">
        <v>0</v>
      </c>
      <c r="F21" s="23" t="s">
        <v>1526</v>
      </c>
      <c r="G21" s="25" t="str">
        <f t="shared" si="0"/>
        <v>('A144401B','RK. 14 FAC 401 B','Wing 14 / 4','0','a'),</v>
      </c>
      <c r="H21" s="24" t="str">
        <f t="shared" si="1"/>
        <v>A144401B</v>
      </c>
      <c r="L21" s="9"/>
    </row>
    <row r="22" spans="1:12" ht="13" x14ac:dyDescent="0.3">
      <c r="A22" s="23">
        <v>21</v>
      </c>
      <c r="B22" s="24" t="s">
        <v>1741</v>
      </c>
      <c r="C22" s="24" t="s">
        <v>3722</v>
      </c>
      <c r="D22" s="24" t="s">
        <v>3719</v>
      </c>
      <c r="E22" s="23">
        <v>0</v>
      </c>
      <c r="F22" s="23" t="s">
        <v>1526</v>
      </c>
      <c r="G22" s="25" t="str">
        <f t="shared" si="0"/>
        <v>('A144401C','RK. 14 FAC 401 C','Wing 14 / 4','0','a'),</v>
      </c>
      <c r="H22" s="24" t="str">
        <f t="shared" si="1"/>
        <v>A144401C</v>
      </c>
      <c r="L22" s="9"/>
    </row>
    <row r="23" spans="1:12" ht="13" x14ac:dyDescent="0.3">
      <c r="A23" s="23">
        <v>22</v>
      </c>
      <c r="B23" s="24" t="s">
        <v>1589</v>
      </c>
      <c r="C23" s="24" t="s">
        <v>3723</v>
      </c>
      <c r="D23" s="24" t="s">
        <v>3724</v>
      </c>
      <c r="E23" s="23">
        <v>74</v>
      </c>
      <c r="F23" s="23" t="s">
        <v>1526</v>
      </c>
      <c r="G23" s="25" t="str">
        <f t="shared" si="0"/>
        <v>('A153301A','RK. 15 TAN 301 A','Wing 15 / 3 Gedung Faperta','74','a'),</v>
      </c>
      <c r="H23" s="24" t="str">
        <f t="shared" si="1"/>
        <v>A153301A</v>
      </c>
      <c r="L23" s="9"/>
    </row>
    <row r="24" spans="1:12" ht="13" x14ac:dyDescent="0.3">
      <c r="A24" s="23">
        <v>23</v>
      </c>
      <c r="B24" s="24" t="s">
        <v>3725</v>
      </c>
      <c r="C24" s="24" t="s">
        <v>3726</v>
      </c>
      <c r="D24" s="24" t="s">
        <v>3727</v>
      </c>
      <c r="E24" s="23">
        <v>91</v>
      </c>
      <c r="F24" s="23" t="s">
        <v>1526</v>
      </c>
      <c r="G24" s="25" t="str">
        <f t="shared" si="0"/>
        <v>('A153301B','RK. 15 TAN 301 B','Wing 15 / 3 GEdung Faperta','91','a'),</v>
      </c>
      <c r="H24" s="24" t="str">
        <f t="shared" si="1"/>
        <v>A153301B</v>
      </c>
      <c r="L24" s="9"/>
    </row>
    <row r="25" spans="1:12" ht="13" x14ac:dyDescent="0.3">
      <c r="A25" s="23">
        <v>24</v>
      </c>
      <c r="B25" s="24" t="s">
        <v>1584</v>
      </c>
      <c r="C25" s="24" t="s">
        <v>3728</v>
      </c>
      <c r="D25" s="24" t="s">
        <v>3729</v>
      </c>
      <c r="E25" s="23">
        <v>80</v>
      </c>
      <c r="F25" s="23" t="s">
        <v>1526</v>
      </c>
      <c r="G25" s="25" t="str">
        <f t="shared" si="0"/>
        <v>('A164401A','RK. 16 FAC 401 A','Wing 16 / 4 Gedung Faperta','80','a'),</v>
      </c>
      <c r="H25" s="24" t="str">
        <f t="shared" si="1"/>
        <v>A164401A</v>
      </c>
      <c r="L25" s="9"/>
    </row>
    <row r="26" spans="1:12" ht="13" x14ac:dyDescent="0.3">
      <c r="A26" s="23">
        <v>25</v>
      </c>
      <c r="B26" s="24" t="s">
        <v>1675</v>
      </c>
      <c r="C26" s="24" t="s">
        <v>3730</v>
      </c>
      <c r="D26" s="24" t="s">
        <v>3731</v>
      </c>
      <c r="E26" s="23">
        <v>80</v>
      </c>
      <c r="F26" s="23" t="s">
        <v>1526</v>
      </c>
      <c r="G26" s="25" t="str">
        <f t="shared" si="0"/>
        <v>('A164401B','RK. 16 FAC 401 B','Wing 16 / Gedung Faperta','80','a'),</v>
      </c>
      <c r="H26" s="24" t="str">
        <f t="shared" si="1"/>
        <v>A164401B</v>
      </c>
      <c r="L26" s="9"/>
    </row>
    <row r="27" spans="1:12" ht="13" x14ac:dyDescent="0.3">
      <c r="A27" s="23">
        <v>26</v>
      </c>
      <c r="B27" s="24" t="s">
        <v>1592</v>
      </c>
      <c r="C27" s="24" t="s">
        <v>3732</v>
      </c>
      <c r="D27" s="24" t="s">
        <v>3729</v>
      </c>
      <c r="E27" s="23">
        <v>80</v>
      </c>
      <c r="F27" s="23" t="s">
        <v>1526</v>
      </c>
      <c r="G27" s="25" t="str">
        <f t="shared" si="0"/>
        <v>('A164401C','RK. 16 FAC 401 C','Wing 16 / 4 Gedung Faperta','80','a'),</v>
      </c>
      <c r="H27" s="24" t="str">
        <f t="shared" si="1"/>
        <v>A164401C</v>
      </c>
      <c r="L27" s="9"/>
    </row>
    <row r="28" spans="1:12" ht="13" x14ac:dyDescent="0.3">
      <c r="A28" s="23">
        <v>27</v>
      </c>
      <c r="B28" s="24" t="s">
        <v>1686</v>
      </c>
      <c r="C28" s="24" t="s">
        <v>3733</v>
      </c>
      <c r="D28" s="24" t="s">
        <v>3729</v>
      </c>
      <c r="E28" s="23">
        <v>80</v>
      </c>
      <c r="F28" s="23" t="s">
        <v>1526</v>
      </c>
      <c r="G28" s="25" t="str">
        <f t="shared" si="0"/>
        <v>('A164401D','RK. 16 FAC 401 D','Wing 16 / 4 Gedung Faperta','80','a'),</v>
      </c>
      <c r="H28" s="24" t="str">
        <f t="shared" si="1"/>
        <v>A164401D</v>
      </c>
      <c r="L28" s="9"/>
    </row>
    <row r="29" spans="1:12" ht="13" x14ac:dyDescent="0.3">
      <c r="A29" s="23">
        <v>28</v>
      </c>
      <c r="B29" s="24" t="s">
        <v>1710</v>
      </c>
      <c r="C29" s="24" t="s">
        <v>3734</v>
      </c>
      <c r="D29" s="24" t="s">
        <v>3731</v>
      </c>
      <c r="E29" s="23">
        <v>80</v>
      </c>
      <c r="F29" s="23" t="s">
        <v>1526</v>
      </c>
      <c r="G29" s="25" t="str">
        <f t="shared" si="0"/>
        <v>('A164401E','RK. 16 FAC 401 E','Wing 16 / Gedung Faperta','80','a'),</v>
      </c>
      <c r="H29" s="24" t="str">
        <f t="shared" si="1"/>
        <v>A164401E</v>
      </c>
      <c r="L29" s="9"/>
    </row>
    <row r="30" spans="1:12" ht="13" x14ac:dyDescent="0.3">
      <c r="A30" s="23">
        <v>29</v>
      </c>
      <c r="B30" s="24" t="s">
        <v>1656</v>
      </c>
      <c r="C30" s="24" t="s">
        <v>3735</v>
      </c>
      <c r="D30" s="24" t="s">
        <v>3736</v>
      </c>
      <c r="E30" s="23">
        <v>60</v>
      </c>
      <c r="F30" s="23" t="s">
        <v>1526</v>
      </c>
      <c r="G30" s="25" t="str">
        <f t="shared" si="0"/>
        <v>('LabKomp1','Lab. Komputer Faperta','Faperta','60','a'),</v>
      </c>
      <c r="H30" s="24" t="str">
        <f t="shared" si="1"/>
        <v>LabKomp1</v>
      </c>
      <c r="L30" s="9"/>
    </row>
    <row r="31" spans="1:12" ht="13" x14ac:dyDescent="0.3">
      <c r="A31" s="23">
        <v>30</v>
      </c>
      <c r="B31" s="24" t="s">
        <v>1606</v>
      </c>
      <c r="C31" s="24" t="s">
        <v>3737</v>
      </c>
      <c r="D31" s="24" t="s">
        <v>3738</v>
      </c>
      <c r="E31" s="23">
        <v>80</v>
      </c>
      <c r="F31" s="23" t="s">
        <v>1526</v>
      </c>
      <c r="G31" s="25" t="str">
        <f t="shared" si="0"/>
        <v>('Studio','Studio Desain 2 ARL','Lab Dept ARL','80','a'),</v>
      </c>
      <c r="H31" s="24" t="str">
        <f t="shared" si="1"/>
        <v>Studio</v>
      </c>
      <c r="L31" s="9"/>
    </row>
    <row r="32" spans="1:12" ht="13" x14ac:dyDescent="0.3">
      <c r="A32" s="23">
        <v>31</v>
      </c>
      <c r="B32" s="26" t="s">
        <v>1702</v>
      </c>
      <c r="C32" s="26" t="s">
        <v>185</v>
      </c>
      <c r="D32" s="26" t="s">
        <v>185</v>
      </c>
      <c r="E32" s="62">
        <f>VLOOKUP(C32,Mentah!G:H,2,FALSE)</f>
        <v>20</v>
      </c>
      <c r="F32" s="62" t="s">
        <v>1526</v>
      </c>
      <c r="G32" s="25" t="str">
        <f t="shared" si="0"/>
        <v>('A0001','RK. Pasca 3 PS-ENT','RK. Pasca 3 PS-ENT','20','a'),</v>
      </c>
      <c r="H32" s="24" t="str">
        <f t="shared" si="1"/>
        <v>A0001</v>
      </c>
      <c r="L32" s="9"/>
    </row>
    <row r="33" spans="1:12" ht="13" x14ac:dyDescent="0.3">
      <c r="A33" s="23">
        <v>32</v>
      </c>
      <c r="B33" s="26" t="s">
        <v>1554</v>
      </c>
      <c r="C33" s="26" t="s">
        <v>118</v>
      </c>
      <c r="D33" s="26" t="s">
        <v>118</v>
      </c>
      <c r="E33" s="62">
        <f>VLOOKUP(C33,Mentah!G:H,2,FALSE)</f>
        <v>20</v>
      </c>
      <c r="F33" s="62" t="s">
        <v>1526</v>
      </c>
      <c r="G33" s="25" t="str">
        <f t="shared" si="0"/>
        <v>('A0002','Ruang Kuliah Pasca 1- PS PHT','Ruang Kuliah Pasca 1- PS PHT','20','a'),</v>
      </c>
      <c r="H33" s="24" t="str">
        <f t="shared" si="1"/>
        <v>A0002</v>
      </c>
      <c r="L33" s="9"/>
    </row>
    <row r="34" spans="1:12" ht="13" x14ac:dyDescent="0.3">
      <c r="A34" s="23">
        <v>33</v>
      </c>
      <c r="B34" s="26" t="s">
        <v>1595</v>
      </c>
      <c r="C34" s="26" t="s">
        <v>104</v>
      </c>
      <c r="D34" s="27" t="s">
        <v>104</v>
      </c>
      <c r="E34" s="62">
        <f>VLOOKUP(C34,Mentah!G:H,2,FALSE)</f>
        <v>20</v>
      </c>
      <c r="F34" s="62" t="s">
        <v>1526</v>
      </c>
      <c r="G34" s="25" t="str">
        <f t="shared" si="0"/>
        <v>('A0003','RK Pasca 3 Dept. PTN','RK Pasca 3 Dept. PTN','20','a'),</v>
      </c>
      <c r="H34" s="24" t="str">
        <f t="shared" si="1"/>
        <v>A0003</v>
      </c>
      <c r="L34" s="9"/>
    </row>
    <row r="35" spans="1:12" ht="13" x14ac:dyDescent="0.3">
      <c r="A35" s="23">
        <v>34</v>
      </c>
      <c r="B35" s="26" t="s">
        <v>1615</v>
      </c>
      <c r="C35" s="26" t="s">
        <v>215</v>
      </c>
      <c r="D35" s="27" t="s">
        <v>215</v>
      </c>
      <c r="E35" s="62">
        <f>VLOOKUP(C35,Mentah!G:H,2,FALSE)</f>
        <v>20</v>
      </c>
      <c r="F35" s="62" t="s">
        <v>1526</v>
      </c>
      <c r="G35" s="25" t="str">
        <f t="shared" si="0"/>
        <v>('A0004','RK PASCA ARL 20 ARL 405 A','RK PASCA ARL 20 ARL 405 A','20','a'),</v>
      </c>
      <c r="H35" s="24" t="str">
        <f t="shared" si="1"/>
        <v>A0004</v>
      </c>
      <c r="L35" s="9"/>
    </row>
    <row r="36" spans="1:12" ht="13" x14ac:dyDescent="0.3">
      <c r="A36" s="23">
        <v>35</v>
      </c>
      <c r="B36" s="26" t="s">
        <v>1560</v>
      </c>
      <c r="C36" s="26" t="s">
        <v>142</v>
      </c>
      <c r="D36" s="27" t="s">
        <v>142</v>
      </c>
      <c r="E36" s="62">
        <f>VLOOKUP(C36,Mentah!G:H,2,FALSE)</f>
        <v>20</v>
      </c>
      <c r="F36" s="62" t="s">
        <v>1526</v>
      </c>
      <c r="G36" s="25" t="str">
        <f t="shared" si="0"/>
        <v>('A0005','RK. Pascasarjana-1 PS ITB','RK. Pascasarjana-1 PS ITB','20','a'),</v>
      </c>
      <c r="H36" s="24" t="str">
        <f t="shared" si="1"/>
        <v>A0005</v>
      </c>
      <c r="L36" s="9"/>
    </row>
    <row r="37" spans="1:12" ht="13" x14ac:dyDescent="0.3">
      <c r="A37" s="23">
        <v>36</v>
      </c>
      <c r="B37" s="26" t="s">
        <v>1640</v>
      </c>
      <c r="C37" s="26" t="s">
        <v>122</v>
      </c>
      <c r="D37" s="27" t="s">
        <v>122</v>
      </c>
      <c r="E37" s="62">
        <f>VLOOKUP(C37,Mentah!G:H,2,FALSE)</f>
        <v>10</v>
      </c>
      <c r="F37" s="62" t="s">
        <v>1526</v>
      </c>
      <c r="G37" s="25" t="str">
        <f t="shared" si="0"/>
        <v>('A0006','Ruang Kuliah Pasca 1 PS ENT','Ruang Kuliah Pasca 1 PS ENT','10','a'),</v>
      </c>
      <c r="H37" s="24" t="str">
        <f t="shared" si="1"/>
        <v>A0006</v>
      </c>
      <c r="L37" s="9"/>
    </row>
    <row r="38" spans="1:12" ht="13" x14ac:dyDescent="0.3">
      <c r="A38" s="23">
        <v>37</v>
      </c>
      <c r="B38" s="24" t="s">
        <v>3739</v>
      </c>
      <c r="C38" s="24" t="s">
        <v>3740</v>
      </c>
      <c r="D38" s="24" t="s">
        <v>3741</v>
      </c>
      <c r="E38" s="23">
        <v>60</v>
      </c>
      <c r="F38" s="23" t="s">
        <v>1528</v>
      </c>
      <c r="G38" s="25" t="str">
        <f t="shared" si="0"/>
        <v>('B000BDH','RP. Bedah','FKH','60','b'),</v>
      </c>
      <c r="H38" s="24" t="str">
        <f t="shared" si="1"/>
        <v>B000BDH</v>
      </c>
      <c r="L38" s="9"/>
    </row>
    <row r="39" spans="1:12" ht="13" x14ac:dyDescent="0.3">
      <c r="A39" s="23">
        <v>38</v>
      </c>
      <c r="B39" s="24" t="s">
        <v>3742</v>
      </c>
      <c r="C39" s="24" t="s">
        <v>3743</v>
      </c>
      <c r="D39" s="24" t="s">
        <v>3744</v>
      </c>
      <c r="E39" s="23">
        <v>150</v>
      </c>
      <c r="F39" s="23" t="s">
        <v>1528</v>
      </c>
      <c r="G39" s="25" t="str">
        <f t="shared" si="0"/>
        <v>('B000FKB1','RK. FKH.B1','Antara Node C-D Gedung FKH','150','b'),</v>
      </c>
      <c r="H39" s="24" t="str">
        <f t="shared" si="1"/>
        <v>B000FKB1</v>
      </c>
      <c r="L39" s="9"/>
    </row>
    <row r="40" spans="1:12" ht="13" x14ac:dyDescent="0.3">
      <c r="A40" s="23">
        <v>39</v>
      </c>
      <c r="B40" s="24" t="s">
        <v>1888</v>
      </c>
      <c r="C40" s="24" t="s">
        <v>3745</v>
      </c>
      <c r="D40" s="24" t="s">
        <v>3744</v>
      </c>
      <c r="E40" s="23">
        <v>150</v>
      </c>
      <c r="F40" s="23" t="s">
        <v>1528</v>
      </c>
      <c r="G40" s="25" t="str">
        <f t="shared" si="0"/>
        <v>('B000FKB2','RK FKH.B2','Antara Node C-D Gedung FKH','150','b'),</v>
      </c>
      <c r="H40" s="24" t="str">
        <f t="shared" si="1"/>
        <v>B000FKB2</v>
      </c>
      <c r="L40" s="9"/>
    </row>
    <row r="41" spans="1:12" ht="13" x14ac:dyDescent="0.3">
      <c r="A41" s="23">
        <v>40</v>
      </c>
      <c r="B41" s="24" t="s">
        <v>1865</v>
      </c>
      <c r="C41" s="24" t="s">
        <v>3746</v>
      </c>
      <c r="D41" s="24" t="s">
        <v>3747</v>
      </c>
      <c r="E41" s="23">
        <v>250</v>
      </c>
      <c r="F41" s="23" t="s">
        <v>1528</v>
      </c>
      <c r="G41" s="25" t="str">
        <f t="shared" si="0"/>
        <v>('B000FKHA','RK. FKH.A','Antara Node A-C Gedung FKH','250','b'),</v>
      </c>
      <c r="H41" s="24" t="str">
        <f t="shared" si="1"/>
        <v>B000FKHA</v>
      </c>
      <c r="L41" s="9"/>
    </row>
    <row r="42" spans="1:12" ht="13" x14ac:dyDescent="0.3">
      <c r="A42" s="23">
        <v>41</v>
      </c>
      <c r="B42" s="24" t="s">
        <v>1931</v>
      </c>
      <c r="C42" s="24" t="s">
        <v>3748</v>
      </c>
      <c r="D42" s="24" t="s">
        <v>3741</v>
      </c>
      <c r="E42" s="23">
        <v>30</v>
      </c>
      <c r="F42" s="23" t="s">
        <v>1528</v>
      </c>
      <c r="G42" s="25" t="str">
        <f t="shared" si="0"/>
        <v>('B000MEDI','RP Biomedis','FKH','30','b'),</v>
      </c>
      <c r="H42" s="24" t="str">
        <f t="shared" si="1"/>
        <v>B000MEDI</v>
      </c>
      <c r="L42" s="9"/>
    </row>
    <row r="43" spans="1:12" ht="13" x14ac:dyDescent="0.3">
      <c r="A43" s="23">
        <v>42</v>
      </c>
      <c r="B43" s="24" t="s">
        <v>1947</v>
      </c>
      <c r="C43" s="24" t="s">
        <v>3749</v>
      </c>
      <c r="D43" s="24" t="s">
        <v>3741</v>
      </c>
      <c r="E43" s="23">
        <v>60</v>
      </c>
      <c r="F43" s="23" t="s">
        <v>1528</v>
      </c>
      <c r="G43" s="25" t="str">
        <f t="shared" si="0"/>
        <v>('B000MOES','R. Moeslihoen-A','FKH','60','b'),</v>
      </c>
      <c r="H43" s="24" t="str">
        <f t="shared" si="1"/>
        <v>B000MOES</v>
      </c>
      <c r="L43" s="9"/>
    </row>
    <row r="44" spans="1:12" ht="13" x14ac:dyDescent="0.3">
      <c r="A44" s="23">
        <v>43</v>
      </c>
      <c r="B44" s="24" t="s">
        <v>1811</v>
      </c>
      <c r="C44" s="24" t="s">
        <v>3750</v>
      </c>
      <c r="D44" s="24" t="s">
        <v>3741</v>
      </c>
      <c r="E44" s="23">
        <v>60</v>
      </c>
      <c r="F44" s="23" t="s">
        <v>1528</v>
      </c>
      <c r="G44" s="25" t="str">
        <f t="shared" si="0"/>
        <v>('B000MOES-B','R. Moeslihoen-B','FKH','60','b'),</v>
      </c>
      <c r="H44" s="24" t="str">
        <f t="shared" si="1"/>
        <v>B000MOES-B</v>
      </c>
      <c r="L44" s="9"/>
    </row>
    <row r="45" spans="1:12" ht="13" x14ac:dyDescent="0.3">
      <c r="A45" s="23">
        <v>44</v>
      </c>
      <c r="B45" s="24" t="s">
        <v>3751</v>
      </c>
      <c r="C45" s="24" t="s">
        <v>3752</v>
      </c>
      <c r="D45" s="24" t="s">
        <v>3741</v>
      </c>
      <c r="E45" s="23">
        <v>60</v>
      </c>
      <c r="F45" s="23" t="s">
        <v>1528</v>
      </c>
      <c r="G45" s="25" t="str">
        <f t="shared" si="0"/>
        <v>('B000MOES-C','R. Moeslihoen-C','FKH','60','b'),</v>
      </c>
      <c r="H45" s="24" t="str">
        <f t="shared" si="1"/>
        <v>B000MOES-C</v>
      </c>
      <c r="L45" s="9"/>
    </row>
    <row r="46" spans="1:12" ht="13" x14ac:dyDescent="0.3">
      <c r="A46" s="23">
        <v>45</v>
      </c>
      <c r="B46" s="24" t="s">
        <v>1921</v>
      </c>
      <c r="C46" s="24" t="s">
        <v>3753</v>
      </c>
      <c r="D46" s="24" t="s">
        <v>3741</v>
      </c>
      <c r="E46" s="23">
        <v>30</v>
      </c>
      <c r="F46" s="23" t="s">
        <v>1528</v>
      </c>
      <c r="G46" s="25" t="str">
        <f t="shared" si="0"/>
        <v>('B000RURR','RP. URR','FKH','30','b'),</v>
      </c>
      <c r="H46" s="24" t="str">
        <f t="shared" si="1"/>
        <v>B000RURR</v>
      </c>
      <c r="L46" s="9"/>
    </row>
    <row r="47" spans="1:12" ht="13" x14ac:dyDescent="0.3">
      <c r="A47" s="23">
        <v>46</v>
      </c>
      <c r="B47" s="24" t="s">
        <v>3754</v>
      </c>
      <c r="C47" s="24" t="s">
        <v>3755</v>
      </c>
      <c r="D47" s="24" t="s">
        <v>3741</v>
      </c>
      <c r="E47" s="23">
        <v>30</v>
      </c>
      <c r="F47" s="23" t="s">
        <v>1528</v>
      </c>
      <c r="G47" s="25" t="str">
        <f t="shared" si="0"/>
        <v>('B000RURR-B','RP. URR-B','FKH','30','b'),</v>
      </c>
      <c r="H47" s="24" t="str">
        <f t="shared" si="1"/>
        <v>B000RURR-B</v>
      </c>
      <c r="L47" s="9"/>
    </row>
    <row r="48" spans="1:12" ht="13" x14ac:dyDescent="0.3">
      <c r="A48" s="23">
        <v>47</v>
      </c>
      <c r="B48" s="24" t="s">
        <v>1900</v>
      </c>
      <c r="C48" s="24" t="s">
        <v>3756</v>
      </c>
      <c r="D48" s="24" t="s">
        <v>3741</v>
      </c>
      <c r="E48" s="23">
        <v>30</v>
      </c>
      <c r="F48" s="23" t="s">
        <v>1528</v>
      </c>
      <c r="G48" s="25" t="str">
        <f t="shared" si="0"/>
        <v>('B000RURR-C','RP. URR-C','FKH','30','b'),</v>
      </c>
      <c r="H48" s="24" t="str">
        <f t="shared" si="1"/>
        <v>B000RURR-C</v>
      </c>
      <c r="L48" s="9"/>
    </row>
    <row r="49" spans="1:12" ht="13" x14ac:dyDescent="0.3">
      <c r="A49" s="23">
        <v>48</v>
      </c>
      <c r="B49" s="24" t="s">
        <v>1840</v>
      </c>
      <c r="C49" s="24" t="s">
        <v>3757</v>
      </c>
      <c r="D49" s="24" t="s">
        <v>3741</v>
      </c>
      <c r="E49" s="23">
        <v>60</v>
      </c>
      <c r="F49" s="23" t="s">
        <v>1528</v>
      </c>
      <c r="G49" s="25" t="str">
        <f t="shared" si="0"/>
        <v>('B001FARM','Lab. Farmasi-1','FKH','60','b'),</v>
      </c>
      <c r="H49" s="24" t="str">
        <f t="shared" si="1"/>
        <v>B001FARM</v>
      </c>
      <c r="L49" s="9"/>
    </row>
    <row r="50" spans="1:12" ht="13" x14ac:dyDescent="0.3">
      <c r="A50" s="23">
        <v>49</v>
      </c>
      <c r="B50" s="24" t="s">
        <v>1876</v>
      </c>
      <c r="C50" s="24" t="s">
        <v>3758</v>
      </c>
      <c r="D50" s="24" t="s">
        <v>3741</v>
      </c>
      <c r="E50" s="23">
        <v>60</v>
      </c>
      <c r="F50" s="23" t="s">
        <v>1528</v>
      </c>
      <c r="G50" s="25" t="str">
        <f t="shared" si="0"/>
        <v>('B001FARM-2','Lab. Farmasi-2','FKH','60','b'),</v>
      </c>
      <c r="H50" s="24" t="str">
        <f t="shared" si="1"/>
        <v>B001FARM-2</v>
      </c>
      <c r="L50" s="9"/>
    </row>
    <row r="51" spans="1:12" ht="13" x14ac:dyDescent="0.3">
      <c r="A51" s="23">
        <v>50</v>
      </c>
      <c r="B51" s="24" t="s">
        <v>1880</v>
      </c>
      <c r="C51" s="24" t="s">
        <v>3759</v>
      </c>
      <c r="D51" s="24" t="s">
        <v>3741</v>
      </c>
      <c r="E51" s="23">
        <v>40</v>
      </c>
      <c r="F51" s="23" t="s">
        <v>1528</v>
      </c>
      <c r="G51" s="25" t="str">
        <f t="shared" si="0"/>
        <v>('B00PROTO','Proto/helmin','FKH','40','b'),</v>
      </c>
      <c r="H51" s="24" t="str">
        <f t="shared" si="1"/>
        <v>B00PROTO</v>
      </c>
      <c r="L51" s="9"/>
    </row>
    <row r="52" spans="1:12" ht="13" x14ac:dyDescent="0.3">
      <c r="A52" s="23">
        <v>51</v>
      </c>
      <c r="B52" s="24" t="s">
        <v>3760</v>
      </c>
      <c r="C52" s="24" t="s">
        <v>3761</v>
      </c>
      <c r="D52" s="24" t="s">
        <v>3762</v>
      </c>
      <c r="E52" s="23">
        <v>75</v>
      </c>
      <c r="F52" s="23" t="s">
        <v>1528</v>
      </c>
      <c r="G52" s="25" t="str">
        <f t="shared" si="0"/>
        <v>('B013TRPD','RP. FKH-1A','Wing 1 / 3 FKH','75','b'),</v>
      </c>
      <c r="H52" s="24" t="str">
        <f t="shared" si="1"/>
        <v>B013TRPD</v>
      </c>
      <c r="L52" s="9"/>
    </row>
    <row r="53" spans="1:12" ht="13" x14ac:dyDescent="0.3">
      <c r="A53" s="23">
        <v>52</v>
      </c>
      <c r="B53" s="24" t="s">
        <v>1857</v>
      </c>
      <c r="C53" s="24" t="s">
        <v>3763</v>
      </c>
      <c r="D53" s="24" t="s">
        <v>3762</v>
      </c>
      <c r="E53" s="23">
        <v>70</v>
      </c>
      <c r="F53" s="23" t="s">
        <v>1528</v>
      </c>
      <c r="G53" s="25" t="str">
        <f t="shared" si="0"/>
        <v>('B013TRPD2','RP. FKH-1B','Wing 1 / 3 FKH','70','b'),</v>
      </c>
      <c r="H53" s="24" t="str">
        <f t="shared" si="1"/>
        <v>B013TRPD2</v>
      </c>
      <c r="L53" s="9"/>
    </row>
    <row r="54" spans="1:12" ht="13" x14ac:dyDescent="0.3">
      <c r="A54" s="23">
        <v>53</v>
      </c>
      <c r="B54" s="24" t="s">
        <v>1847</v>
      </c>
      <c r="C54" s="24" t="s">
        <v>3764</v>
      </c>
      <c r="D54" s="24" t="s">
        <v>3762</v>
      </c>
      <c r="E54" s="23">
        <v>70</v>
      </c>
      <c r="F54" s="23" t="s">
        <v>1528</v>
      </c>
      <c r="G54" s="25" t="str">
        <f t="shared" si="0"/>
        <v>('B013TRPD3','RP. FKH-1C','Wing 1 / 3 FKH','70','b'),</v>
      </c>
      <c r="H54" s="24" t="str">
        <f t="shared" si="1"/>
        <v>B013TRPD3</v>
      </c>
      <c r="L54" s="9"/>
    </row>
    <row r="55" spans="1:12" ht="13" x14ac:dyDescent="0.3">
      <c r="A55" s="23">
        <v>54</v>
      </c>
      <c r="B55" s="24" t="s">
        <v>1855</v>
      </c>
      <c r="C55" s="24" t="s">
        <v>3765</v>
      </c>
      <c r="D55" s="28">
        <v>45017</v>
      </c>
      <c r="E55" s="23">
        <v>0</v>
      </c>
      <c r="F55" s="23" t="s">
        <v>1528</v>
      </c>
      <c r="G55" s="25" t="str">
        <f t="shared" si="0"/>
        <v>('B014RRB2','RK. RRB.B2','45017','0','b'),</v>
      </c>
      <c r="H55" s="24" t="str">
        <f t="shared" si="1"/>
        <v>B014RRB2</v>
      </c>
      <c r="L55" s="9"/>
    </row>
    <row r="56" spans="1:12" ht="13" x14ac:dyDescent="0.3">
      <c r="A56" s="23">
        <v>55</v>
      </c>
      <c r="B56" s="24" t="s">
        <v>1834</v>
      </c>
      <c r="C56" s="24" t="s">
        <v>3766</v>
      </c>
      <c r="D56" s="24" t="s">
        <v>3767</v>
      </c>
      <c r="E56" s="23">
        <v>60</v>
      </c>
      <c r="F56" s="23" t="s">
        <v>1528</v>
      </c>
      <c r="G56" s="25" t="str">
        <f t="shared" si="0"/>
        <v>('B0220801','RP. Hewan Besar/Kecil','Wing 2 / 2 FKH','60','b'),</v>
      </c>
      <c r="H56" s="24" t="str">
        <f t="shared" si="1"/>
        <v>B0220801</v>
      </c>
      <c r="L56" s="9"/>
    </row>
    <row r="57" spans="1:12" ht="13" x14ac:dyDescent="0.3">
      <c r="A57" s="23">
        <v>56</v>
      </c>
      <c r="B57" s="24" t="s">
        <v>3768</v>
      </c>
      <c r="C57" s="24" t="s">
        <v>3769</v>
      </c>
      <c r="D57" s="24" t="s">
        <v>3767</v>
      </c>
      <c r="E57" s="23">
        <v>65</v>
      </c>
      <c r="F57" s="23" t="s">
        <v>1528</v>
      </c>
      <c r="G57" s="25" t="str">
        <f t="shared" si="0"/>
        <v>('B0220802','RP. Hewan Kecil. (PHK)','Wing 2 / 2 FKH','65','b'),</v>
      </c>
      <c r="H57" s="24" t="str">
        <f t="shared" si="1"/>
        <v>B0220802</v>
      </c>
      <c r="L57" s="9"/>
    </row>
    <row r="58" spans="1:12" ht="13" x14ac:dyDescent="0.3">
      <c r="A58" s="23">
        <v>57</v>
      </c>
      <c r="B58" s="24" t="s">
        <v>1819</v>
      </c>
      <c r="C58" s="24" t="s">
        <v>3770</v>
      </c>
      <c r="D58" s="24" t="s">
        <v>3767</v>
      </c>
      <c r="E58" s="23">
        <v>30</v>
      </c>
      <c r="F58" s="23" t="s">
        <v>1528</v>
      </c>
      <c r="G58" s="25" t="str">
        <f t="shared" si="0"/>
        <v>('B0220803','RP. Radiologi','Wing 2 / 2 FKH','30','b'),</v>
      </c>
      <c r="H58" s="24" t="str">
        <f t="shared" si="1"/>
        <v>B0220803</v>
      </c>
      <c r="L58" s="9"/>
    </row>
    <row r="59" spans="1:12" ht="13" x14ac:dyDescent="0.3">
      <c r="A59" s="23">
        <v>58</v>
      </c>
      <c r="B59" s="24" t="s">
        <v>3771</v>
      </c>
      <c r="C59" s="24" t="s">
        <v>3772</v>
      </c>
      <c r="D59" s="24" t="s">
        <v>3773</v>
      </c>
      <c r="E59" s="23">
        <v>30</v>
      </c>
      <c r="F59" s="23" t="s">
        <v>1528</v>
      </c>
      <c r="G59" s="25" t="str">
        <f t="shared" si="0"/>
        <v>('B0230805','Lab. Patologi Klinik','Wing 2 / 3 FKH','30','b'),</v>
      </c>
      <c r="H59" s="24" t="str">
        <f t="shared" si="1"/>
        <v>B0230805</v>
      </c>
      <c r="L59" s="9"/>
    </row>
    <row r="60" spans="1:12" ht="13" x14ac:dyDescent="0.3">
      <c r="A60" s="23">
        <v>59</v>
      </c>
      <c r="B60" s="24" t="s">
        <v>1850</v>
      </c>
      <c r="C60" s="24" t="s">
        <v>3774</v>
      </c>
      <c r="D60" s="24" t="s">
        <v>3775</v>
      </c>
      <c r="E60" s="23">
        <v>40</v>
      </c>
      <c r="F60" s="23" t="s">
        <v>1528</v>
      </c>
      <c r="G60" s="25" t="str">
        <f t="shared" si="0"/>
        <v>('B0240807','R. Seminar','Wing 2 / 4 FKH','40','b'),</v>
      </c>
      <c r="H60" s="24" t="str">
        <f t="shared" si="1"/>
        <v>B0240807</v>
      </c>
      <c r="L60" s="9"/>
    </row>
    <row r="61" spans="1:12" ht="13" x14ac:dyDescent="0.3">
      <c r="A61" s="23">
        <v>60</v>
      </c>
      <c r="B61" s="24" t="s">
        <v>1869</v>
      </c>
      <c r="C61" s="24" t="s">
        <v>3776</v>
      </c>
      <c r="D61" s="24" t="s">
        <v>3773</v>
      </c>
      <c r="E61" s="23">
        <v>60</v>
      </c>
      <c r="F61" s="23" t="s">
        <v>1528</v>
      </c>
      <c r="G61" s="25" t="str">
        <f t="shared" si="0"/>
        <v>('B032KLIN','RK. KLINIK','Wing 2 / 3 FKH','60','b'),</v>
      </c>
      <c r="H61" s="24" t="str">
        <f t="shared" si="1"/>
        <v>B032KLIN</v>
      </c>
      <c r="L61" s="9"/>
    </row>
    <row r="62" spans="1:12" ht="13" x14ac:dyDescent="0.3">
      <c r="A62" s="23">
        <v>61</v>
      </c>
      <c r="B62" s="24" t="s">
        <v>3777</v>
      </c>
      <c r="C62" s="24" t="s">
        <v>3778</v>
      </c>
      <c r="D62" s="24" t="s">
        <v>3779</v>
      </c>
      <c r="E62" s="23">
        <v>60</v>
      </c>
      <c r="F62" s="23" t="s">
        <v>1528</v>
      </c>
      <c r="G62" s="25" t="str">
        <f t="shared" si="0"/>
        <v>('B043PEPR','RP. REPRODUKSI','Wing 4 / 3 FKH','60','b'),</v>
      </c>
      <c r="H62" s="24" t="str">
        <f t="shared" si="1"/>
        <v>B043PEPR</v>
      </c>
      <c r="L62" s="9"/>
    </row>
    <row r="63" spans="1:12" ht="13" x14ac:dyDescent="0.3">
      <c r="A63" s="23">
        <v>62</v>
      </c>
      <c r="B63" s="24" t="s">
        <v>1822</v>
      </c>
      <c r="C63" s="24" t="s">
        <v>3780</v>
      </c>
      <c r="D63" s="24" t="s">
        <v>3779</v>
      </c>
      <c r="E63" s="23">
        <v>60</v>
      </c>
      <c r="F63" s="23" t="s">
        <v>1528</v>
      </c>
      <c r="G63" s="25" t="str">
        <f t="shared" si="0"/>
        <v>('B043REPR','RK. REPRODUKSI','Wing 4 / 3 FKH','60','b'),</v>
      </c>
      <c r="H63" s="24" t="str">
        <f t="shared" si="1"/>
        <v>B043REPR</v>
      </c>
      <c r="L63" s="9"/>
    </row>
    <row r="64" spans="1:12" ht="13" x14ac:dyDescent="0.3">
      <c r="A64" s="23">
        <v>63</v>
      </c>
      <c r="B64" s="24" t="s">
        <v>1837</v>
      </c>
      <c r="C64" s="24" t="s">
        <v>3781</v>
      </c>
      <c r="D64" s="24" t="s">
        <v>3782</v>
      </c>
      <c r="E64" s="23">
        <v>60</v>
      </c>
      <c r="F64" s="23" t="s">
        <v>1528</v>
      </c>
      <c r="G64" s="25" t="str">
        <f t="shared" si="0"/>
        <v>('B051FARM','RK. FIFARM','Wing 5 / 1 FKH','60','b'),</v>
      </c>
      <c r="H64" s="24" t="str">
        <f t="shared" si="1"/>
        <v>B051FARM</v>
      </c>
      <c r="L64" s="9"/>
    </row>
    <row r="65" spans="1:12" ht="13" x14ac:dyDescent="0.3">
      <c r="A65" s="23">
        <v>64</v>
      </c>
      <c r="B65" s="24" t="s">
        <v>1825</v>
      </c>
      <c r="C65" s="24" t="s">
        <v>3783</v>
      </c>
      <c r="D65" s="24" t="s">
        <v>3784</v>
      </c>
      <c r="E65" s="23">
        <v>60</v>
      </c>
      <c r="F65" s="23" t="s">
        <v>1528</v>
      </c>
      <c r="G65" s="25" t="str">
        <f t="shared" si="0"/>
        <v>('B051HLAB','Lab. Kandang He-Lab/RSH','RSH','60','b'),</v>
      </c>
      <c r="H65" s="24" t="str">
        <f t="shared" si="1"/>
        <v>B051HLAB</v>
      </c>
      <c r="L65" s="9"/>
    </row>
    <row r="66" spans="1:12" ht="13" x14ac:dyDescent="0.3">
      <c r="A66" s="23">
        <v>65</v>
      </c>
      <c r="B66" s="24" t="s">
        <v>1813</v>
      </c>
      <c r="C66" s="24" t="s">
        <v>3785</v>
      </c>
      <c r="D66" s="24" t="s">
        <v>3782</v>
      </c>
      <c r="E66" s="23">
        <v>60</v>
      </c>
      <c r="F66" s="23" t="s">
        <v>1528</v>
      </c>
      <c r="G66" s="25" t="str">
        <f t="shared" si="0"/>
        <v>('B051LFIF','RP. FIFARM','Wing 5 / 1 FKH','60','b'),</v>
      </c>
      <c r="H66" s="24" t="str">
        <f t="shared" ref="H66:H129" si="2">B66</f>
        <v>B051LFIF</v>
      </c>
      <c r="L66" s="9"/>
    </row>
    <row r="67" spans="1:12" ht="13" x14ac:dyDescent="0.3">
      <c r="A67" s="23">
        <v>66</v>
      </c>
      <c r="B67" s="24" t="s">
        <v>3786</v>
      </c>
      <c r="C67" s="24" t="s">
        <v>3787</v>
      </c>
      <c r="D67" s="24" t="s">
        <v>3782</v>
      </c>
      <c r="E67" s="23">
        <v>60</v>
      </c>
      <c r="F67" s="23" t="s">
        <v>1528</v>
      </c>
      <c r="G67" s="25" t="str">
        <f t="shared" si="0"/>
        <v>('B051LFIF2','RP. FIFARM-2','Wing 5 / 1 FKH','60','b'),</v>
      </c>
      <c r="H67" s="24" t="str">
        <f t="shared" si="2"/>
        <v>B051LFIF2</v>
      </c>
      <c r="L67" s="9"/>
    </row>
    <row r="68" spans="1:12" ht="13" x14ac:dyDescent="0.3">
      <c r="A68" s="23">
        <v>67</v>
      </c>
      <c r="B68" s="24" t="s">
        <v>1842</v>
      </c>
      <c r="C68" s="24" t="s">
        <v>3788</v>
      </c>
      <c r="D68" s="24" t="s">
        <v>3782</v>
      </c>
      <c r="E68" s="23">
        <v>60</v>
      </c>
      <c r="F68" s="23" t="s">
        <v>1528</v>
      </c>
      <c r="G68" s="25" t="str">
        <f t="shared" si="0"/>
        <v>('B051LFIF3','RP. FIFARM-3','Wing 5 / 1 FKH','60','b'),</v>
      </c>
      <c r="H68" s="24" t="str">
        <f t="shared" si="2"/>
        <v>B051LFIF3</v>
      </c>
      <c r="L68" s="9"/>
    </row>
    <row r="69" spans="1:12" ht="13" x14ac:dyDescent="0.3">
      <c r="A69" s="23">
        <v>68</v>
      </c>
      <c r="B69" s="24" t="s">
        <v>1828</v>
      </c>
      <c r="C69" s="24" t="s">
        <v>3789</v>
      </c>
      <c r="D69" s="24" t="s">
        <v>3790</v>
      </c>
      <c r="E69" s="23">
        <v>60</v>
      </c>
      <c r="F69" s="23" t="s">
        <v>1528</v>
      </c>
      <c r="G69" s="25" t="str">
        <f t="shared" si="0"/>
        <v>('B062KESM','RK. KITWAN &amp; KESMAVET','Wing 6 / 2 FKH','60','b'),</v>
      </c>
      <c r="H69" s="24" t="str">
        <f t="shared" si="2"/>
        <v>B062KESM</v>
      </c>
      <c r="L69" s="9"/>
    </row>
    <row r="70" spans="1:12" ht="13" x14ac:dyDescent="0.3">
      <c r="A70" s="23">
        <v>69</v>
      </c>
      <c r="B70" s="24" t="s">
        <v>3791</v>
      </c>
      <c r="C70" s="24" t="s">
        <v>3792</v>
      </c>
      <c r="D70" s="24" t="s">
        <v>3790</v>
      </c>
      <c r="E70" s="23">
        <v>60</v>
      </c>
      <c r="F70" s="23" t="s">
        <v>1528</v>
      </c>
      <c r="G70" s="25" t="str">
        <f t="shared" si="0"/>
        <v>('B062PKIT','RP. Kitwan 1','Wing 6 / 2 FKH','60','b'),</v>
      </c>
      <c r="H70" s="24" t="str">
        <f t="shared" si="2"/>
        <v>B062PKIT</v>
      </c>
      <c r="L70" s="9"/>
    </row>
    <row r="71" spans="1:12" ht="13" x14ac:dyDescent="0.3">
      <c r="A71" s="23">
        <v>70</v>
      </c>
      <c r="B71" s="24" t="s">
        <v>1878</v>
      </c>
      <c r="C71" s="24" t="s">
        <v>3793</v>
      </c>
      <c r="D71" s="24" t="s">
        <v>3790</v>
      </c>
      <c r="E71" s="23">
        <v>60</v>
      </c>
      <c r="F71" s="23" t="s">
        <v>1528</v>
      </c>
      <c r="G71" s="25" t="str">
        <f t="shared" si="0"/>
        <v>('B063PKIT','RP. Kitwan 2','Wing 6 / 2 FKH','60','b'),</v>
      </c>
      <c r="H71" s="24" t="str">
        <f t="shared" si="2"/>
        <v>B063PKIT</v>
      </c>
      <c r="L71" s="9"/>
    </row>
    <row r="72" spans="1:12" ht="13" x14ac:dyDescent="0.3">
      <c r="A72" s="23">
        <v>71</v>
      </c>
      <c r="B72" s="24" t="s">
        <v>3794</v>
      </c>
      <c r="C72" s="24" t="s">
        <v>3795</v>
      </c>
      <c r="D72" s="24" t="s">
        <v>3796</v>
      </c>
      <c r="E72" s="23">
        <v>60</v>
      </c>
      <c r="F72" s="23" t="s">
        <v>1528</v>
      </c>
      <c r="G72" s="25" t="str">
        <f t="shared" si="0"/>
        <v>('B072RKPT','RK. PARAPAT','Wing 7 / 2 FKH','60','b'),</v>
      </c>
      <c r="H72" s="24" t="str">
        <f t="shared" si="2"/>
        <v>B072RKPT</v>
      </c>
      <c r="L72" s="9"/>
    </row>
    <row r="73" spans="1:12" ht="13" x14ac:dyDescent="0.3">
      <c r="A73" s="23">
        <v>72</v>
      </c>
      <c r="B73" s="24" t="s">
        <v>1915</v>
      </c>
      <c r="C73" s="24" t="s">
        <v>3797</v>
      </c>
      <c r="D73" s="24" t="s">
        <v>3796</v>
      </c>
      <c r="E73" s="23">
        <v>60</v>
      </c>
      <c r="F73" s="23" t="s">
        <v>1528</v>
      </c>
      <c r="G73" s="25" t="str">
        <f t="shared" si="0"/>
        <v>('B072RPPT','RP. Parapat','Wing 7 / 2 FKH','60','b'),</v>
      </c>
      <c r="H73" s="24" t="str">
        <f t="shared" si="2"/>
        <v>B072RPPT</v>
      </c>
      <c r="L73" s="9"/>
    </row>
    <row r="74" spans="1:12" ht="13" x14ac:dyDescent="0.3">
      <c r="A74" s="23">
        <v>73</v>
      </c>
      <c r="B74" s="24" t="s">
        <v>1831</v>
      </c>
      <c r="C74" s="24" t="s">
        <v>3798</v>
      </c>
      <c r="D74" s="24" t="s">
        <v>3799</v>
      </c>
      <c r="E74" s="23">
        <v>60</v>
      </c>
      <c r="F74" s="23" t="s">
        <v>1528</v>
      </c>
      <c r="G74" s="25" t="str">
        <f t="shared" si="0"/>
        <v>('B083ANAT','RK. ANATOMI','Wing 8 / 3 FKH','60','b'),</v>
      </c>
      <c r="H74" s="24" t="str">
        <f t="shared" si="2"/>
        <v>B083ANAT</v>
      </c>
      <c r="L74" s="9"/>
    </row>
    <row r="75" spans="1:12" ht="13" x14ac:dyDescent="0.3">
      <c r="A75" s="23">
        <v>74</v>
      </c>
      <c r="B75" s="24" t="s">
        <v>1860</v>
      </c>
      <c r="C75" s="24" t="s">
        <v>3800</v>
      </c>
      <c r="D75" s="24" t="s">
        <v>3741</v>
      </c>
      <c r="E75" s="23">
        <v>50</v>
      </c>
      <c r="F75" s="23" t="s">
        <v>1528</v>
      </c>
      <c r="G75" s="25" t="str">
        <f t="shared" si="0"/>
        <v>('B0DIPDLM','Lab. Diagnostik (Bag. Penyakit dalam)','FKH','50','b'),</v>
      </c>
      <c r="H75" s="24" t="str">
        <f t="shared" si="2"/>
        <v>B0DIPDLM</v>
      </c>
      <c r="L75" s="9"/>
    </row>
    <row r="76" spans="1:12" ht="13" x14ac:dyDescent="0.3">
      <c r="A76" s="23">
        <v>75</v>
      </c>
      <c r="B76" s="24" t="s">
        <v>1952</v>
      </c>
      <c r="C76" s="24" t="s">
        <v>3801</v>
      </c>
      <c r="D76" s="24" t="s">
        <v>3741</v>
      </c>
      <c r="E76" s="23">
        <v>70</v>
      </c>
      <c r="F76" s="23" t="s">
        <v>1528</v>
      </c>
      <c r="G76" s="25" t="str">
        <f t="shared" si="0"/>
        <v>('B0PARAST','RK.Parasitologi','FKH','70','b'),</v>
      </c>
      <c r="H76" s="24" t="str">
        <f t="shared" si="2"/>
        <v>B0PARAST</v>
      </c>
      <c r="L76" s="9"/>
    </row>
    <row r="77" spans="1:12" ht="13" x14ac:dyDescent="0.3">
      <c r="A77" s="23">
        <v>76</v>
      </c>
      <c r="B77" s="24" t="s">
        <v>1943</v>
      </c>
      <c r="C77" s="24" t="s">
        <v>3802</v>
      </c>
      <c r="D77" s="24" t="s">
        <v>3741</v>
      </c>
      <c r="E77" s="23">
        <v>60</v>
      </c>
      <c r="F77" s="23" t="s">
        <v>1528</v>
      </c>
      <c r="G77" s="25" t="str">
        <f t="shared" si="0"/>
        <v>('B0XCYBER','RS. SIKAR','FKH','60','b'),</v>
      </c>
      <c r="H77" s="24" t="str">
        <f t="shared" si="2"/>
        <v>B0XCYBER</v>
      </c>
      <c r="L77" s="9"/>
    </row>
    <row r="78" spans="1:12" ht="13" x14ac:dyDescent="0.3">
      <c r="A78" s="23">
        <v>77</v>
      </c>
      <c r="B78" s="24" t="s">
        <v>1816</v>
      </c>
      <c r="C78" s="24" t="s">
        <v>3803</v>
      </c>
      <c r="D78" s="24" t="s">
        <v>3804</v>
      </c>
      <c r="E78" s="23">
        <v>100</v>
      </c>
      <c r="F78" s="23" t="s">
        <v>1528</v>
      </c>
      <c r="G78" s="25" t="str">
        <f t="shared" si="0"/>
        <v>('LAB-CYBER2','LAB. Cyber Padi','Lt.4 FKH','100','b'),</v>
      </c>
      <c r="H78" s="24" t="str">
        <f t="shared" si="2"/>
        <v>LAB-CYBER2</v>
      </c>
      <c r="L78" s="9"/>
    </row>
    <row r="79" spans="1:12" ht="13" x14ac:dyDescent="0.3">
      <c r="A79" s="23">
        <v>78</v>
      </c>
      <c r="B79" s="24" t="s">
        <v>2159</v>
      </c>
      <c r="C79" s="24" t="s">
        <v>3805</v>
      </c>
      <c r="D79" s="24" t="s">
        <v>3806</v>
      </c>
      <c r="E79" s="23">
        <v>100</v>
      </c>
      <c r="F79" s="23" t="s">
        <v>1530</v>
      </c>
      <c r="G79" s="25" t="str">
        <f t="shared" si="0"/>
        <v>('LABMSP01','Lab. Produktivitas dan Lingkungan Perairan','Departemen MSP','100','c'),</v>
      </c>
      <c r="H79" s="24" t="str">
        <f t="shared" si="2"/>
        <v>LABMSP01</v>
      </c>
      <c r="L79" s="9"/>
    </row>
    <row r="80" spans="1:12" ht="13" x14ac:dyDescent="0.3">
      <c r="A80" s="23">
        <v>79</v>
      </c>
      <c r="B80" s="24" t="s">
        <v>2031</v>
      </c>
      <c r="C80" s="24" t="s">
        <v>3807</v>
      </c>
      <c r="D80" s="24" t="s">
        <v>3808</v>
      </c>
      <c r="E80" s="23">
        <v>0</v>
      </c>
      <c r="F80" s="23" t="s">
        <v>1530</v>
      </c>
      <c r="G80" s="25" t="str">
        <f t="shared" si="0"/>
        <v>('LABIPBCC','Lab IPBCC','Gedung Perikanan Lantai 5','0','c'),</v>
      </c>
      <c r="H80" s="24" t="str">
        <f t="shared" si="2"/>
        <v>LABIPBCC</v>
      </c>
      <c r="L80" s="9"/>
    </row>
    <row r="81" spans="1:12" ht="13" x14ac:dyDescent="0.3">
      <c r="A81" s="23">
        <v>80</v>
      </c>
      <c r="B81" s="24" t="s">
        <v>1970</v>
      </c>
      <c r="C81" s="24" t="s">
        <v>3809</v>
      </c>
      <c r="D81" s="24" t="s">
        <v>3808</v>
      </c>
      <c r="E81" s="23">
        <v>0</v>
      </c>
      <c r="F81" s="23" t="s">
        <v>1530</v>
      </c>
      <c r="G81" s="25" t="str">
        <f t="shared" si="0"/>
        <v>('LABIPBCC1','Laboratorium IPBCC','Gedung Perikanan Lantai 5','0','c'),</v>
      </c>
      <c r="H81" s="24" t="str">
        <f t="shared" si="2"/>
        <v>LABIPBCC1</v>
      </c>
      <c r="L81" s="9"/>
    </row>
    <row r="82" spans="1:12" ht="13" x14ac:dyDescent="0.3">
      <c r="A82" s="23">
        <v>81</v>
      </c>
      <c r="B82" s="24" t="s">
        <v>3810</v>
      </c>
      <c r="C82" s="24" t="s">
        <v>3811</v>
      </c>
      <c r="D82" s="24" t="s">
        <v>3812</v>
      </c>
      <c r="E82" s="23">
        <v>160</v>
      </c>
      <c r="F82" s="23" t="s">
        <v>1530</v>
      </c>
      <c r="G82" s="25" t="str">
        <f t="shared" si="0"/>
        <v>('C001RKA2','RK. A2 FPIK','Diantara wing 3, 5, dan 7 / 1 (Fak) FPIK','160','c'),</v>
      </c>
      <c r="H82" s="24" t="str">
        <f t="shared" si="2"/>
        <v>C001RKA2</v>
      </c>
      <c r="L82" s="9"/>
    </row>
    <row r="83" spans="1:12" ht="13" x14ac:dyDescent="0.3">
      <c r="A83" s="23">
        <v>82</v>
      </c>
      <c r="B83" s="24" t="s">
        <v>2073</v>
      </c>
      <c r="C83" s="24" t="s">
        <v>3813</v>
      </c>
      <c r="D83" s="24" t="s">
        <v>3814</v>
      </c>
      <c r="E83" s="23">
        <v>140</v>
      </c>
      <c r="F83" s="23" t="s">
        <v>1530</v>
      </c>
      <c r="G83" s="25" t="str">
        <f t="shared" si="0"/>
        <v>('C001RKB2','RK. B2','Wing 59/ 1 (Fak) FPIK','140','c'),</v>
      </c>
      <c r="H83" s="24" t="str">
        <f t="shared" si="2"/>
        <v>C001RKB2</v>
      </c>
      <c r="L83" s="9"/>
    </row>
    <row r="84" spans="1:12" ht="13" x14ac:dyDescent="0.3">
      <c r="A84" s="23">
        <v>83</v>
      </c>
      <c r="B84" s="24" t="s">
        <v>2131</v>
      </c>
      <c r="C84" s="24" t="s">
        <v>3815</v>
      </c>
      <c r="D84" s="24" t="s">
        <v>3816</v>
      </c>
      <c r="E84" s="23">
        <v>200</v>
      </c>
      <c r="F84" s="23" t="s">
        <v>1530</v>
      </c>
      <c r="G84" s="25" t="str">
        <f t="shared" si="0"/>
        <v>('C002RKA1','RK. A1','Diantara wing 48 dan 7 / 2 (Fak) FPIK','200','c'),</v>
      </c>
      <c r="H84" s="24" t="str">
        <f t="shared" si="2"/>
        <v>C002RKA1</v>
      </c>
      <c r="L84" s="9"/>
    </row>
    <row r="85" spans="1:12" ht="13" x14ac:dyDescent="0.3">
      <c r="A85" s="23">
        <v>84</v>
      </c>
      <c r="B85" s="24" t="s">
        <v>2069</v>
      </c>
      <c r="C85" s="24" t="s">
        <v>3817</v>
      </c>
      <c r="D85" s="24" t="s">
        <v>3818</v>
      </c>
      <c r="E85" s="23">
        <v>168</v>
      </c>
      <c r="F85" s="23" t="s">
        <v>1530</v>
      </c>
      <c r="G85" s="25" t="str">
        <f t="shared" si="0"/>
        <v>('C002RKB1','RK. B1','Diantara wing 12 dan 3 / 2 (Fak) FPIK','168','c'),</v>
      </c>
      <c r="H85" s="24" t="str">
        <f t="shared" si="2"/>
        <v>C002RKB1</v>
      </c>
      <c r="L85" s="9"/>
    </row>
    <row r="86" spans="1:12" ht="13" x14ac:dyDescent="0.3">
      <c r="A86" s="23">
        <v>85</v>
      </c>
      <c r="B86" s="24" t="s">
        <v>3819</v>
      </c>
      <c r="C86" s="24" t="s">
        <v>3820</v>
      </c>
      <c r="D86" s="24" t="s">
        <v>3821</v>
      </c>
      <c r="E86" s="23">
        <v>120</v>
      </c>
      <c r="F86" s="23" t="s">
        <v>1530</v>
      </c>
      <c r="G86" s="25" t="str">
        <f t="shared" si="0"/>
        <v>('C012RKC1','RK. C1','Wing 1/ 2 (Fak) FPIK','120','c'),</v>
      </c>
      <c r="H86" s="24" t="str">
        <f t="shared" si="2"/>
        <v>C012RKC1</v>
      </c>
      <c r="L86" s="9"/>
    </row>
    <row r="87" spans="1:12" ht="13" x14ac:dyDescent="0.3">
      <c r="A87" s="23">
        <v>86</v>
      </c>
      <c r="B87" s="24" t="s">
        <v>2152</v>
      </c>
      <c r="C87" s="24" t="s">
        <v>3822</v>
      </c>
      <c r="D87" s="24" t="s">
        <v>3821</v>
      </c>
      <c r="E87" s="23">
        <v>120</v>
      </c>
      <c r="F87" s="23" t="s">
        <v>1530</v>
      </c>
      <c r="G87" s="25" t="str">
        <f t="shared" si="0"/>
        <v>('C012RKC2','RK. C2','Wing 1/ 2 (Fak) FPIK','120','c'),</v>
      </c>
      <c r="H87" s="24" t="str">
        <f t="shared" si="2"/>
        <v>C012RKC2</v>
      </c>
      <c r="L87" s="9"/>
    </row>
    <row r="88" spans="1:12" ht="13" x14ac:dyDescent="0.3">
      <c r="A88" s="23">
        <v>87</v>
      </c>
      <c r="B88" s="24" t="s">
        <v>2144</v>
      </c>
      <c r="C88" s="24" t="s">
        <v>3823</v>
      </c>
      <c r="D88" s="24" t="s">
        <v>3824</v>
      </c>
      <c r="E88" s="23">
        <v>120</v>
      </c>
      <c r="F88" s="23" t="s">
        <v>1530</v>
      </c>
      <c r="G88" s="25" t="str">
        <f t="shared" si="0"/>
        <v>('C022RKC3','RK. C3','Wing 2 / 2 (Fak) FPIK','120','c'),</v>
      </c>
      <c r="H88" s="24" t="str">
        <f t="shared" si="2"/>
        <v>C022RKC3</v>
      </c>
      <c r="L88" s="9"/>
    </row>
    <row r="89" spans="1:12" ht="13" x14ac:dyDescent="0.3">
      <c r="A89" s="23">
        <v>88</v>
      </c>
      <c r="B89" s="24" t="s">
        <v>2161</v>
      </c>
      <c r="C89" s="24" t="s">
        <v>3825</v>
      </c>
      <c r="D89" s="24" t="s">
        <v>3824</v>
      </c>
      <c r="E89" s="23">
        <v>120</v>
      </c>
      <c r="F89" s="23" t="s">
        <v>1530</v>
      </c>
      <c r="G89" s="25" t="str">
        <f t="shared" si="0"/>
        <v>('C022RKC4','RK. C4','Wing 2 / 2 (Fak) FPIK','120','c'),</v>
      </c>
      <c r="H89" s="24" t="str">
        <f t="shared" si="2"/>
        <v>C022RKC4</v>
      </c>
      <c r="L89" s="9"/>
    </row>
    <row r="90" spans="1:12" ht="13" x14ac:dyDescent="0.3">
      <c r="A90" s="23">
        <v>89</v>
      </c>
      <c r="B90" s="24" t="s">
        <v>2046</v>
      </c>
      <c r="C90" s="24" t="s">
        <v>3826</v>
      </c>
      <c r="D90" s="24" t="s">
        <v>3827</v>
      </c>
      <c r="E90" s="23">
        <v>60</v>
      </c>
      <c r="F90" s="23" t="s">
        <v>1530</v>
      </c>
      <c r="G90" s="25" t="str">
        <f t="shared" si="0"/>
        <v>('C1110101','RS. IU. / 11.101','WING 11/1 (SEI) FPIK','60','c'),</v>
      </c>
      <c r="H90" s="24" t="str">
        <f t="shared" si="2"/>
        <v>C1110101</v>
      </c>
      <c r="L90" s="9"/>
    </row>
    <row r="91" spans="1:12" ht="13" x14ac:dyDescent="0.3">
      <c r="A91" s="23">
        <v>90</v>
      </c>
      <c r="B91" s="24" t="s">
        <v>2180</v>
      </c>
      <c r="C91" s="24" t="s">
        <v>3828</v>
      </c>
      <c r="D91" s="24" t="s">
        <v>3827</v>
      </c>
      <c r="E91" s="23">
        <v>60</v>
      </c>
      <c r="F91" s="23" t="s">
        <v>1530</v>
      </c>
      <c r="G91" s="25" t="str">
        <f t="shared" si="0"/>
        <v>('C1110102','RS. IU. / 11.102','WING 11/1 (SEI) FPIK','60','c'),</v>
      </c>
      <c r="H91" s="24" t="str">
        <f t="shared" si="2"/>
        <v>C1110102</v>
      </c>
      <c r="L91" s="9"/>
    </row>
    <row r="92" spans="1:12" ht="13" x14ac:dyDescent="0.3">
      <c r="A92" s="23">
        <v>91</v>
      </c>
      <c r="B92" s="24" t="s">
        <v>1988</v>
      </c>
      <c r="C92" s="24" t="s">
        <v>3829</v>
      </c>
      <c r="D92" s="24" t="s">
        <v>3827</v>
      </c>
      <c r="E92" s="23">
        <v>60</v>
      </c>
      <c r="F92" s="23" t="s">
        <v>1530</v>
      </c>
      <c r="G92" s="25" t="str">
        <f t="shared" si="0"/>
        <v>('C1110104','RS. IU. / 11.104','WING 11/1 (SEI) FPIK','60','c'),</v>
      </c>
      <c r="H92" s="24" t="str">
        <f t="shared" si="2"/>
        <v>C1110104</v>
      </c>
      <c r="L92" s="9"/>
    </row>
    <row r="93" spans="1:12" ht="13" x14ac:dyDescent="0.3">
      <c r="A93" s="23">
        <v>92</v>
      </c>
      <c r="B93" s="24" t="s">
        <v>1973</v>
      </c>
      <c r="C93" s="24" t="s">
        <v>361</v>
      </c>
      <c r="D93" s="24" t="s">
        <v>3830</v>
      </c>
      <c r="E93" s="23">
        <v>50</v>
      </c>
      <c r="F93" s="23" t="s">
        <v>1530</v>
      </c>
      <c r="G93" s="25" t="str">
        <f t="shared" si="0"/>
        <v>('C123RBEN','Lab. R. Bengkel','WING 12/3 (BDP)','50','c'),</v>
      </c>
      <c r="H93" s="24" t="str">
        <f t="shared" si="2"/>
        <v>C123RBEN</v>
      </c>
      <c r="L93" s="9"/>
    </row>
    <row r="94" spans="1:12" ht="13" x14ac:dyDescent="0.3">
      <c r="A94" s="23">
        <v>93</v>
      </c>
      <c r="B94" s="24" t="s">
        <v>1985</v>
      </c>
      <c r="C94" s="24" t="s">
        <v>3831</v>
      </c>
      <c r="D94" s="24" t="s">
        <v>3832</v>
      </c>
      <c r="E94" s="23">
        <v>100</v>
      </c>
      <c r="F94" s="23" t="s">
        <v>1530</v>
      </c>
      <c r="G94" s="25" t="str">
        <f t="shared" si="0"/>
        <v>('C132RGAM','Lab. R. Gambar','WING 13/2 (BDP) FPIK','100','c'),</v>
      </c>
      <c r="H94" s="24" t="str">
        <f t="shared" si="2"/>
        <v>C132RGAM</v>
      </c>
      <c r="L94" s="9"/>
    </row>
    <row r="95" spans="1:12" ht="13" x14ac:dyDescent="0.3">
      <c r="A95" s="23">
        <v>94</v>
      </c>
      <c r="B95" s="24" t="s">
        <v>1996</v>
      </c>
      <c r="C95" s="24" t="s">
        <v>3833</v>
      </c>
      <c r="D95" s="24" t="s">
        <v>3834</v>
      </c>
      <c r="E95" s="23">
        <v>120</v>
      </c>
      <c r="F95" s="23" t="s">
        <v>1530</v>
      </c>
      <c r="G95" s="25" t="str">
        <f t="shared" si="0"/>
        <v>('C162RP21','RK. P21','Wing 16/ 2 (ITK) FPIK','120','c'),</v>
      </c>
      <c r="H95" s="24" t="str">
        <f t="shared" si="2"/>
        <v>C162RP21</v>
      </c>
      <c r="L95" s="9"/>
    </row>
    <row r="96" spans="1:12" ht="13" x14ac:dyDescent="0.3">
      <c r="A96" s="23">
        <v>95</v>
      </c>
      <c r="B96" s="24" t="s">
        <v>1981</v>
      </c>
      <c r="C96" s="24" t="s">
        <v>3835</v>
      </c>
      <c r="D96" s="24" t="s">
        <v>3834</v>
      </c>
      <c r="E96" s="23">
        <v>60</v>
      </c>
      <c r="F96" s="23" t="s">
        <v>1530</v>
      </c>
      <c r="G96" s="25" t="str">
        <f t="shared" si="0"/>
        <v>('162RP22','RK. P22','Wing 16/ 2 (ITK) FPIK','60','c'),</v>
      </c>
      <c r="H96" s="24" t="str">
        <f t="shared" si="2"/>
        <v>162RP22</v>
      </c>
      <c r="L96" s="9"/>
    </row>
    <row r="97" spans="1:12" ht="13" x14ac:dyDescent="0.3">
      <c r="A97" s="23">
        <v>96</v>
      </c>
      <c r="B97" s="24" t="s">
        <v>1978</v>
      </c>
      <c r="C97" s="24" t="s">
        <v>3836</v>
      </c>
      <c r="D97" s="24" t="s">
        <v>3834</v>
      </c>
      <c r="E97" s="23">
        <v>60</v>
      </c>
      <c r="F97" s="23" t="s">
        <v>1530</v>
      </c>
      <c r="G97" s="25" t="str">
        <f t="shared" si="0"/>
        <v>('C162RP23','RK. P23','Wing 16/ 2 (ITK) FPIK','60','c'),</v>
      </c>
      <c r="H97" s="24" t="str">
        <f t="shared" si="2"/>
        <v>C162RP23</v>
      </c>
      <c r="L97" s="9"/>
    </row>
    <row r="98" spans="1:12" ht="13" x14ac:dyDescent="0.3">
      <c r="A98" s="23">
        <v>97</v>
      </c>
      <c r="B98" s="24" t="s">
        <v>2034</v>
      </c>
      <c r="C98" s="24" t="s">
        <v>948</v>
      </c>
      <c r="D98" s="24" t="s">
        <v>3834</v>
      </c>
      <c r="E98" s="23">
        <v>60</v>
      </c>
      <c r="F98" s="23" t="s">
        <v>1530</v>
      </c>
      <c r="G98" s="25" t="str">
        <f t="shared" si="0"/>
        <v>('C162RP24','RK. P24','Wing 16/ 2 (ITK) FPIK','60','c'),</v>
      </c>
      <c r="H98" s="24" t="str">
        <f t="shared" si="2"/>
        <v>C162RP24</v>
      </c>
      <c r="L98" s="9"/>
    </row>
    <row r="99" spans="1:12" ht="13" x14ac:dyDescent="0.3">
      <c r="A99" s="23">
        <v>98</v>
      </c>
      <c r="B99" s="24" t="s">
        <v>2002</v>
      </c>
      <c r="C99" s="24" t="s">
        <v>939</v>
      </c>
      <c r="D99" s="24" t="s">
        <v>3834</v>
      </c>
      <c r="E99" s="23">
        <v>60</v>
      </c>
      <c r="F99" s="23" t="s">
        <v>1530</v>
      </c>
      <c r="G99" s="25" t="str">
        <f t="shared" si="0"/>
        <v>('C162RP25','RK. P25','Wing 16/ 2 (ITK) FPIK','60','c'),</v>
      </c>
      <c r="H99" s="24" t="str">
        <f t="shared" si="2"/>
        <v>C162RP25</v>
      </c>
      <c r="L99" s="9"/>
    </row>
    <row r="100" spans="1:12" ht="13" x14ac:dyDescent="0.3">
      <c r="A100" s="23">
        <v>99</v>
      </c>
      <c r="B100" s="26" t="s">
        <v>1964</v>
      </c>
      <c r="C100" s="26" t="s">
        <v>355</v>
      </c>
      <c r="D100" s="26" t="s">
        <v>355</v>
      </c>
      <c r="E100" s="62">
        <f>VLOOKUP(C100,Mentah!G:H,2,FALSE)</f>
        <v>20</v>
      </c>
      <c r="F100" s="62" t="s">
        <v>1530</v>
      </c>
      <c r="G100" s="25" t="str">
        <f t="shared" si="0"/>
        <v>('C0002','R. eks Perpust Lt. 2 BDP','R. eks Perpust Lt. 2 BDP','20','c'),</v>
      </c>
      <c r="H100" s="24" t="str">
        <f t="shared" si="2"/>
        <v>C0002</v>
      </c>
      <c r="L100" s="9"/>
    </row>
    <row r="101" spans="1:12" ht="13" x14ac:dyDescent="0.3">
      <c r="A101" s="23">
        <v>100</v>
      </c>
      <c r="B101" s="26" t="s">
        <v>2008</v>
      </c>
      <c r="C101" s="26" t="s">
        <v>381</v>
      </c>
      <c r="D101" s="26" t="s">
        <v>381</v>
      </c>
      <c r="E101" s="62">
        <f>VLOOKUP(C101,Mentah!G:H,2,FALSE)</f>
        <v>20</v>
      </c>
      <c r="F101" s="62" t="s">
        <v>1530</v>
      </c>
      <c r="G101" s="25" t="str">
        <f t="shared" si="0"/>
        <v>('C0003','RD. SDP 1 (SDP)','RD. SDP 1 (SDP)','20','c'),</v>
      </c>
      <c r="H101" s="24" t="str">
        <f t="shared" si="2"/>
        <v>C0003</v>
      </c>
      <c r="L101" s="9"/>
    </row>
    <row r="102" spans="1:12" ht="13" x14ac:dyDescent="0.3">
      <c r="A102" s="23">
        <v>101</v>
      </c>
      <c r="B102" s="26" t="s">
        <v>2013</v>
      </c>
      <c r="C102" s="26" t="s">
        <v>388</v>
      </c>
      <c r="D102" s="26" t="s">
        <v>388</v>
      </c>
      <c r="E102" s="62">
        <f>VLOOKUP(C102,Mentah!G:H,2,FALSE)</f>
        <v>20</v>
      </c>
      <c r="F102" s="62" t="s">
        <v>1530</v>
      </c>
      <c r="G102" s="25" t="str">
        <f t="shared" si="0"/>
        <v>('C0004','RK. SDP 1 (SDP)','RK. SDP 1 (SDP)','20','c'),</v>
      </c>
      <c r="H102" s="24" t="str">
        <f t="shared" si="2"/>
        <v>C0004</v>
      </c>
      <c r="L102" s="9"/>
    </row>
    <row r="103" spans="1:12" ht="13" x14ac:dyDescent="0.3">
      <c r="A103" s="23">
        <v>102</v>
      </c>
      <c r="B103" s="26" t="s">
        <v>1998</v>
      </c>
      <c r="C103" s="26" t="s">
        <v>392</v>
      </c>
      <c r="D103" s="26" t="s">
        <v>392</v>
      </c>
      <c r="E103" s="62">
        <f>VLOOKUP(C103,Mentah!G:H,2,FALSE)</f>
        <v>20</v>
      </c>
      <c r="F103" s="62" t="s">
        <v>1530</v>
      </c>
      <c r="G103" s="25" t="str">
        <f t="shared" si="0"/>
        <v>('C0005','RK. SDP 2 (SDP)','RK. SDP 2 (SDP)','20','c'),</v>
      </c>
      <c r="H103" s="24" t="str">
        <f t="shared" si="2"/>
        <v>C0005</v>
      </c>
      <c r="L103" s="9"/>
    </row>
    <row r="104" spans="1:12" ht="13" x14ac:dyDescent="0.3">
      <c r="A104" s="23">
        <v>103</v>
      </c>
      <c r="B104" s="26" t="s">
        <v>2095</v>
      </c>
      <c r="C104" s="26" t="s">
        <v>441</v>
      </c>
      <c r="D104" s="26" t="s">
        <v>441</v>
      </c>
      <c r="E104" s="62">
        <f>VLOOKUP(C104,Mentah!G:H,2,FALSE)</f>
        <v>20</v>
      </c>
      <c r="F104" s="62" t="s">
        <v>1530</v>
      </c>
      <c r="G104" s="25" t="str">
        <f t="shared" si="0"/>
        <v>('C0006','Ruang Diskusi SPL Dept MSP (SPL)','Ruang Diskusi SPL Dept MSP (SPL)','20','c'),</v>
      </c>
      <c r="H104" s="24" t="str">
        <f t="shared" si="2"/>
        <v>C0006</v>
      </c>
      <c r="L104" s="9"/>
    </row>
    <row r="105" spans="1:12" ht="13" x14ac:dyDescent="0.3">
      <c r="A105" s="23">
        <v>104</v>
      </c>
      <c r="B105" s="26" t="s">
        <v>1961</v>
      </c>
      <c r="C105" s="26" t="s">
        <v>400</v>
      </c>
      <c r="D105" s="26" t="s">
        <v>400</v>
      </c>
      <c r="E105" s="62">
        <f>VLOOKUP(C105,Mentah!G:H,2,FALSE)</f>
        <v>20</v>
      </c>
      <c r="F105" s="62" t="s">
        <v>1530</v>
      </c>
      <c r="G105" s="25" t="str">
        <f t="shared" si="0"/>
        <v>('C0007','Ruang Kuliah Sandwich Dept MSP (SPL)','Ruang Kuliah Sandwich Dept MSP (SPL)','20','c'),</v>
      </c>
      <c r="H105" s="24" t="str">
        <f t="shared" si="2"/>
        <v>C0007</v>
      </c>
      <c r="L105" s="9"/>
    </row>
    <row r="106" spans="1:12" ht="13" x14ac:dyDescent="0.3">
      <c r="A106" s="23">
        <v>105</v>
      </c>
      <c r="B106" s="26" t="s">
        <v>2284</v>
      </c>
      <c r="C106" s="26" t="s">
        <v>579</v>
      </c>
      <c r="D106" s="27" t="s">
        <v>579</v>
      </c>
      <c r="E106" s="62">
        <f>VLOOKUP(C106,Mentah!G:H,2,FALSE)</f>
        <v>20</v>
      </c>
      <c r="F106" s="62" t="s">
        <v>1530</v>
      </c>
      <c r="G106" s="25" t="str">
        <f t="shared" si="0"/>
        <v>('C0008','Lab Inderaja (TEK)','Lab Inderaja (TEK)','20','c'),</v>
      </c>
      <c r="H106" s="24" t="str">
        <f t="shared" si="2"/>
        <v>C0008</v>
      </c>
      <c r="L106" s="9"/>
    </row>
    <row r="107" spans="1:12" ht="13" x14ac:dyDescent="0.3">
      <c r="A107" s="23">
        <v>106</v>
      </c>
      <c r="B107" s="26" t="s">
        <v>2169</v>
      </c>
      <c r="C107" s="26" t="s">
        <v>573</v>
      </c>
      <c r="D107" s="27" t="s">
        <v>573</v>
      </c>
      <c r="E107" s="62">
        <f>VLOOKUP(C107,Mentah!G:H,2,FALSE)</f>
        <v>20</v>
      </c>
      <c r="F107" s="62" t="s">
        <v>1530</v>
      </c>
      <c r="G107" s="25" t="str">
        <f t="shared" si="0"/>
        <v>('C0009','Lab Maritek (TEK)','Lab Maritek (TEK)','20','c'),</v>
      </c>
      <c r="H107" s="24" t="str">
        <f t="shared" si="2"/>
        <v>C0009</v>
      </c>
      <c r="L107" s="9"/>
    </row>
    <row r="108" spans="1:12" ht="13" x14ac:dyDescent="0.3">
      <c r="A108" s="23">
        <v>107</v>
      </c>
      <c r="B108" s="26" t="s">
        <v>2077</v>
      </c>
      <c r="C108" s="26" t="s">
        <v>568</v>
      </c>
      <c r="D108" s="27" t="s">
        <v>568</v>
      </c>
      <c r="E108" s="62">
        <f>VLOOKUP(C108,Mentah!G:H,2,FALSE)</f>
        <v>20</v>
      </c>
      <c r="F108" s="62" t="s">
        <v>1530</v>
      </c>
      <c r="G108" s="25" t="str">
        <f t="shared" si="0"/>
        <v>('C0010','RK Pasca 2 (ITK)','RK Pasca 2 (ITK)','20','c'),</v>
      </c>
      <c r="H108" s="24" t="str">
        <f t="shared" si="2"/>
        <v>C0010</v>
      </c>
      <c r="L108" s="9"/>
    </row>
    <row r="109" spans="1:12" ht="13" x14ac:dyDescent="0.3">
      <c r="A109" s="23">
        <v>108</v>
      </c>
      <c r="B109" s="26" t="s">
        <v>2061</v>
      </c>
      <c r="C109" s="26" t="s">
        <v>468</v>
      </c>
      <c r="D109" s="27" t="s">
        <v>468</v>
      </c>
      <c r="E109" s="62">
        <f>VLOOKUP(C109,Mentah!G:H,2,FALSE)</f>
        <v>40</v>
      </c>
      <c r="F109" s="62" t="s">
        <v>1530</v>
      </c>
      <c r="G109" s="25" t="str">
        <f t="shared" si="0"/>
        <v>('C0011','RK. J2 (THP)','RK. J2 (THP)','40','c'),</v>
      </c>
      <c r="H109" s="24" t="str">
        <f t="shared" si="2"/>
        <v>C0011</v>
      </c>
      <c r="L109" s="9"/>
    </row>
    <row r="110" spans="1:12" ht="13" x14ac:dyDescent="0.3">
      <c r="A110" s="23">
        <v>109</v>
      </c>
      <c r="B110" s="26" t="s">
        <v>1967</v>
      </c>
      <c r="C110" s="26" t="s">
        <v>578</v>
      </c>
      <c r="D110" s="27" t="s">
        <v>578</v>
      </c>
      <c r="E110" s="62">
        <f>VLOOKUP(C110,Mentah!G:H,2,FALSE)</f>
        <v>20</v>
      </c>
      <c r="F110" s="62" t="s">
        <v>1530</v>
      </c>
      <c r="G110" s="25" t="str">
        <f t="shared" si="0"/>
        <v>('C0012','RK. Pasca 1 (ITK)','RK. Pasca 1 (ITK)','20','c'),</v>
      </c>
      <c r="H110" s="24" t="str">
        <f t="shared" si="2"/>
        <v>C0012</v>
      </c>
      <c r="L110" s="9"/>
    </row>
    <row r="111" spans="1:12" ht="13" x14ac:dyDescent="0.3">
      <c r="A111" s="23">
        <v>110</v>
      </c>
      <c r="B111" s="26" t="s">
        <v>1983</v>
      </c>
      <c r="C111" s="26" t="s">
        <v>589</v>
      </c>
      <c r="D111" s="27" t="s">
        <v>589</v>
      </c>
      <c r="E111" s="62">
        <f>VLOOKUP(C111,Mentah!G:H,2,FALSE)</f>
        <v>20</v>
      </c>
      <c r="F111" s="62" t="s">
        <v>1530</v>
      </c>
      <c r="G111" s="25" t="str">
        <f t="shared" si="0"/>
        <v>('C0013','RK. Pasca 4 (ITK)','RK. Pasca 4 (ITK)','20','c'),</v>
      </c>
      <c r="H111" s="24" t="str">
        <f t="shared" si="2"/>
        <v>C0013</v>
      </c>
      <c r="L111" s="9"/>
    </row>
    <row r="112" spans="1:12" ht="13" x14ac:dyDescent="0.3">
      <c r="A112" s="23">
        <v>111</v>
      </c>
      <c r="B112" s="26" t="s">
        <v>1958</v>
      </c>
      <c r="C112" s="26" t="s">
        <v>515</v>
      </c>
      <c r="D112" s="27" t="s">
        <v>515</v>
      </c>
      <c r="E112" s="62">
        <f>VLOOKUP(C112,Mentah!G:H,2,FALSE)</f>
        <v>50</v>
      </c>
      <c r="F112" s="62" t="s">
        <v>1530</v>
      </c>
      <c r="G112" s="25" t="str">
        <f t="shared" si="0"/>
        <v>('C0014','Ruang Kuliah. PASCA TPL (TPL)','Ruang Kuliah. PASCA TPL (TPL)','50','c'),</v>
      </c>
      <c r="H112" s="24" t="str">
        <f t="shared" si="2"/>
        <v>C0014</v>
      </c>
      <c r="L112" s="9"/>
    </row>
    <row r="113" spans="1:12" ht="13" x14ac:dyDescent="0.3">
      <c r="A113" s="23">
        <v>112</v>
      </c>
      <c r="B113" s="26" t="s">
        <v>2194</v>
      </c>
      <c r="C113" s="26" t="s">
        <v>506</v>
      </c>
      <c r="D113" s="27" t="s">
        <v>506</v>
      </c>
      <c r="E113" s="62">
        <f>VLOOKUP(C113,Mentah!G:H,2,FALSE)</f>
        <v>20</v>
      </c>
      <c r="F113" s="62" t="s">
        <v>1530</v>
      </c>
      <c r="G113" s="25" t="str">
        <f t="shared" si="0"/>
        <v>('C0015','Ruang Trawler Pasca PSP','Ruang Trawler Pasca PSP','20','c'),</v>
      </c>
      <c r="H113" s="24" t="str">
        <f t="shared" si="2"/>
        <v>C0015</v>
      </c>
      <c r="L113" s="9"/>
    </row>
    <row r="114" spans="1:12" ht="13" x14ac:dyDescent="0.3">
      <c r="A114" s="23">
        <v>113</v>
      </c>
      <c r="B114" s="24" t="s">
        <v>2337</v>
      </c>
      <c r="C114" s="24" t="s">
        <v>3837</v>
      </c>
      <c r="D114" s="24" t="s">
        <v>3838</v>
      </c>
      <c r="E114" s="23">
        <v>30</v>
      </c>
      <c r="F114" s="23" t="s">
        <v>1532</v>
      </c>
      <c r="G114" s="25" t="str">
        <f t="shared" si="0"/>
        <v>('D000GENE','Lab. Genetika Fapet','Fapet','30','d'),</v>
      </c>
      <c r="H114" s="24" t="str">
        <f t="shared" si="2"/>
        <v>D000GENE</v>
      </c>
      <c r="L114" s="9"/>
    </row>
    <row r="115" spans="1:12" ht="13" x14ac:dyDescent="0.3">
      <c r="A115" s="23">
        <v>114</v>
      </c>
      <c r="B115" s="24" t="s">
        <v>2408</v>
      </c>
      <c r="C115" s="24" t="s">
        <v>3839</v>
      </c>
      <c r="D115" s="24" t="s">
        <v>3840</v>
      </c>
      <c r="E115" s="23">
        <v>176</v>
      </c>
      <c r="F115" s="23" t="s">
        <v>1532</v>
      </c>
      <c r="G115" s="25" t="str">
        <f t="shared" si="0"/>
        <v>('D001RA01','RK. A1 D Lantai 1','Antara Wing 7, 9, dan10 / 1 Fapet','176','d'),</v>
      </c>
      <c r="H115" s="24" t="str">
        <f t="shared" si="2"/>
        <v>D001RA01</v>
      </c>
      <c r="L115" s="9"/>
    </row>
    <row r="116" spans="1:12" ht="13" x14ac:dyDescent="0.3">
      <c r="A116" s="23">
        <v>115</v>
      </c>
      <c r="B116" s="24" t="s">
        <v>3841</v>
      </c>
      <c r="C116" s="24" t="s">
        <v>3842</v>
      </c>
      <c r="D116" s="24" t="s">
        <v>3843</v>
      </c>
      <c r="E116" s="23">
        <v>176</v>
      </c>
      <c r="F116" s="23" t="s">
        <v>1532</v>
      </c>
      <c r="G116" s="25" t="str">
        <f t="shared" si="0"/>
        <v>('D002RA02','RK. A2 D Lantai 2','Antara Wing 5, 6, dan 8 / 2 Fapet','176','d'),</v>
      </c>
      <c r="H116" s="24" t="str">
        <f t="shared" si="2"/>
        <v>D002RA02</v>
      </c>
      <c r="L116" s="9"/>
    </row>
    <row r="117" spans="1:12" ht="13" x14ac:dyDescent="0.3">
      <c r="A117" s="23">
        <v>116</v>
      </c>
      <c r="B117" s="24" t="s">
        <v>2375</v>
      </c>
      <c r="C117" s="24" t="s">
        <v>3844</v>
      </c>
      <c r="D117" s="24" t="s">
        <v>3845</v>
      </c>
      <c r="E117" s="23">
        <v>150</v>
      </c>
      <c r="F117" s="23" t="s">
        <v>1532</v>
      </c>
      <c r="G117" s="25" t="str">
        <f t="shared" si="0"/>
        <v>('D002RB01','RK. B1 D Lantai 2','Antara Wing 3, 4, dan 7 / 2 Fapet','150','d'),</v>
      </c>
      <c r="H117" s="24" t="str">
        <f t="shared" si="2"/>
        <v>D002RB01</v>
      </c>
      <c r="L117" s="9"/>
    </row>
    <row r="118" spans="1:12" ht="13" x14ac:dyDescent="0.3">
      <c r="A118" s="23">
        <v>117</v>
      </c>
      <c r="B118" s="24" t="s">
        <v>2380</v>
      </c>
      <c r="C118" s="24" t="s">
        <v>3846</v>
      </c>
      <c r="D118" s="24" t="s">
        <v>3847</v>
      </c>
      <c r="E118" s="23">
        <v>150</v>
      </c>
      <c r="F118" s="23" t="s">
        <v>1532</v>
      </c>
      <c r="G118" s="25" t="str">
        <f t="shared" si="0"/>
        <v>('D002RB02','RK. B2 D Lantai 2','Antara Wing 1, 4, dan 5 / 2 Fapet','150','d'),</v>
      </c>
      <c r="H118" s="24" t="str">
        <f t="shared" si="2"/>
        <v>D002RB02</v>
      </c>
      <c r="L118" s="9"/>
    </row>
    <row r="119" spans="1:12" ht="13" x14ac:dyDescent="0.3">
      <c r="A119" s="23">
        <v>118</v>
      </c>
      <c r="B119" s="24" t="s">
        <v>2339</v>
      </c>
      <c r="C119" s="24" t="s">
        <v>3848</v>
      </c>
      <c r="D119" s="24" t="s">
        <v>3849</v>
      </c>
      <c r="E119" s="23">
        <v>150</v>
      </c>
      <c r="F119" s="23" t="s">
        <v>1532</v>
      </c>
      <c r="G119" s="25" t="str">
        <f t="shared" si="0"/>
        <v>('D002RB03','RK. B3 D Lantai 2','Antr Wing 62 Fapet','150','d'),</v>
      </c>
      <c r="H119" s="24" t="str">
        <f t="shared" si="2"/>
        <v>D002RB03</v>
      </c>
      <c r="L119" s="9"/>
    </row>
    <row r="120" spans="1:12" ht="13" x14ac:dyDescent="0.3">
      <c r="A120" s="23">
        <v>119</v>
      </c>
      <c r="B120" s="24" t="s">
        <v>2399</v>
      </c>
      <c r="C120" s="24" t="s">
        <v>3850</v>
      </c>
      <c r="D120" s="24" t="s">
        <v>3851</v>
      </c>
      <c r="E120" s="23">
        <v>100</v>
      </c>
      <c r="F120" s="23" t="s">
        <v>1532</v>
      </c>
      <c r="G120" s="25" t="str">
        <f t="shared" si="0"/>
        <v>('D062C9CA','RK. C9-C10 D Lantai 2','Wing 6 / 2 Gedung Fapet','100','d'),</v>
      </c>
      <c r="H120" s="24" t="str">
        <f t="shared" si="2"/>
        <v>D062C9CA</v>
      </c>
      <c r="L120" s="9"/>
    </row>
    <row r="121" spans="1:12" ht="13" x14ac:dyDescent="0.3">
      <c r="A121" s="23">
        <v>120</v>
      </c>
      <c r="B121" s="24" t="s">
        <v>2361</v>
      </c>
      <c r="C121" s="24" t="s">
        <v>3852</v>
      </c>
      <c r="D121" s="24" t="s">
        <v>3851</v>
      </c>
      <c r="E121" s="23">
        <v>100</v>
      </c>
      <c r="F121" s="23" t="s">
        <v>1532</v>
      </c>
      <c r="G121" s="25" t="str">
        <f t="shared" si="0"/>
        <v>('D062CBCC','RK. C11-C12 D Lantai 2','Wing 6 / 2 Gedung Fapet','100','d'),</v>
      </c>
      <c r="H121" s="24" t="str">
        <f t="shared" si="2"/>
        <v>D062CBCC</v>
      </c>
      <c r="L121" s="9"/>
    </row>
    <row r="122" spans="1:12" ht="13" x14ac:dyDescent="0.3">
      <c r="A122" s="23">
        <v>121</v>
      </c>
      <c r="B122" s="24" t="s">
        <v>2371</v>
      </c>
      <c r="C122" s="24" t="s">
        <v>3853</v>
      </c>
      <c r="D122" s="24" t="s">
        <v>3854</v>
      </c>
      <c r="E122" s="23">
        <v>100</v>
      </c>
      <c r="F122" s="23" t="s">
        <v>1532</v>
      </c>
      <c r="G122" s="25" t="str">
        <f t="shared" si="0"/>
        <v>('D091C1C2','RK. C1-C2 D Lantai 1','Wing 9 / 1 Gedung Fapet','100','d'),</v>
      </c>
      <c r="H122" s="24" t="str">
        <f t="shared" si="2"/>
        <v>D091C1C2</v>
      </c>
      <c r="L122" s="9"/>
    </row>
    <row r="123" spans="1:12" ht="13" x14ac:dyDescent="0.3">
      <c r="A123" s="23">
        <v>122</v>
      </c>
      <c r="B123" s="24" t="s">
        <v>3855</v>
      </c>
      <c r="C123" s="24" t="s">
        <v>3856</v>
      </c>
      <c r="D123" s="24" t="s">
        <v>3854</v>
      </c>
      <c r="E123" s="23">
        <v>51</v>
      </c>
      <c r="F123" s="23" t="s">
        <v>1532</v>
      </c>
      <c r="G123" s="25" t="str">
        <f t="shared" si="0"/>
        <v>('D091RC03','RK. C3D Lantai 1','Wing 9 / 1 Gedung Fapet','51','d'),</v>
      </c>
      <c r="H123" s="24" t="str">
        <f t="shared" si="2"/>
        <v>D091RC03</v>
      </c>
      <c r="L123" s="9"/>
    </row>
    <row r="124" spans="1:12" ht="13" x14ac:dyDescent="0.3">
      <c r="A124" s="23">
        <v>123</v>
      </c>
      <c r="B124" s="24" t="s">
        <v>2351</v>
      </c>
      <c r="C124" s="24" t="s">
        <v>3857</v>
      </c>
      <c r="D124" s="24" t="s">
        <v>3854</v>
      </c>
      <c r="E124" s="23">
        <v>52</v>
      </c>
      <c r="F124" s="23" t="s">
        <v>1532</v>
      </c>
      <c r="G124" s="25" t="str">
        <f t="shared" si="0"/>
        <v>('D091RC04','RK. C4D Lantai 1','Wing 9 / 1 Gedung Fapet','52','d'),</v>
      </c>
      <c r="H124" s="24" t="str">
        <f t="shared" si="2"/>
        <v>D091RC04</v>
      </c>
      <c r="L124" s="9"/>
    </row>
    <row r="125" spans="1:12" ht="13" x14ac:dyDescent="0.3">
      <c r="A125" s="23">
        <v>124</v>
      </c>
      <c r="B125" s="24" t="s">
        <v>2358</v>
      </c>
      <c r="C125" s="24" t="s">
        <v>3858</v>
      </c>
      <c r="D125" s="24" t="s">
        <v>3859</v>
      </c>
      <c r="E125" s="23">
        <v>105</v>
      </c>
      <c r="F125" s="23" t="s">
        <v>1532</v>
      </c>
      <c r="G125" s="25" t="str">
        <f t="shared" si="0"/>
        <v>('D101C5C6','RK. C5-C6D Lantai 1','Wing 10 / 1 Gedung Fapet','105','d'),</v>
      </c>
      <c r="H125" s="24" t="str">
        <f t="shared" si="2"/>
        <v>D101C5C6</v>
      </c>
      <c r="L125" s="9"/>
    </row>
    <row r="126" spans="1:12" ht="13" x14ac:dyDescent="0.3">
      <c r="A126" s="23">
        <v>125</v>
      </c>
      <c r="B126" s="24" t="s">
        <v>2322</v>
      </c>
      <c r="C126" s="24" t="s">
        <v>3860</v>
      </c>
      <c r="D126" s="24" t="s">
        <v>3859</v>
      </c>
      <c r="E126" s="23">
        <v>100</v>
      </c>
      <c r="F126" s="23" t="s">
        <v>1532</v>
      </c>
      <c r="G126" s="25" t="str">
        <f t="shared" si="0"/>
        <v>('D101C7C8','RK. C7-C8 D Lantai 1','Wing 10 / 1 Gedung Fapet','100','d'),</v>
      </c>
      <c r="H126" s="24" t="str">
        <f t="shared" si="2"/>
        <v>D101C7C8</v>
      </c>
      <c r="L126" s="9"/>
    </row>
    <row r="127" spans="1:12" ht="13" x14ac:dyDescent="0.3">
      <c r="A127" s="23">
        <v>126</v>
      </c>
      <c r="B127" s="24" t="s">
        <v>2316</v>
      </c>
      <c r="C127" s="24" t="s">
        <v>3861</v>
      </c>
      <c r="D127" s="28">
        <v>45018</v>
      </c>
      <c r="E127" s="23">
        <v>0</v>
      </c>
      <c r="F127" s="23" t="s">
        <v>1532</v>
      </c>
      <c r="G127" s="25" t="str">
        <f t="shared" si="0"/>
        <v>('D11002401','RK. 2 - 401','45018','0','d'),</v>
      </c>
      <c r="H127" s="24" t="str">
        <f t="shared" si="2"/>
        <v>D11002401</v>
      </c>
      <c r="L127" s="9"/>
    </row>
    <row r="128" spans="1:12" ht="13" x14ac:dyDescent="0.3">
      <c r="A128" s="23">
        <v>127</v>
      </c>
      <c r="B128" s="24" t="s">
        <v>2377</v>
      </c>
      <c r="C128" s="24" t="s">
        <v>3862</v>
      </c>
      <c r="D128" s="24" t="s">
        <v>3863</v>
      </c>
      <c r="E128" s="23">
        <v>50</v>
      </c>
      <c r="F128" s="23" t="s">
        <v>1532</v>
      </c>
      <c r="G128" s="25" t="str">
        <f t="shared" si="0"/>
        <v>('D-LAB001','Lab. Teknologi Pakan','Fak. Peternakan','50','d'),</v>
      </c>
      <c r="H128" s="24" t="str">
        <f t="shared" si="2"/>
        <v>D-LAB001</v>
      </c>
      <c r="L128" s="9"/>
    </row>
    <row r="129" spans="1:12" ht="13" x14ac:dyDescent="0.3">
      <c r="A129" s="23">
        <v>128</v>
      </c>
      <c r="B129" s="24" t="s">
        <v>2341</v>
      </c>
      <c r="C129" s="24" t="s">
        <v>3864</v>
      </c>
      <c r="D129" s="24" t="s">
        <v>3863</v>
      </c>
      <c r="E129" s="23">
        <v>60</v>
      </c>
      <c r="F129" s="23" t="s">
        <v>1532</v>
      </c>
      <c r="G129" s="25" t="str">
        <f t="shared" si="0"/>
        <v>('D-LAB002','Lab. Nutrisi Ternak Unggas ( NTU )','Fak. Peternakan','60','d'),</v>
      </c>
      <c r="H129" s="24" t="str">
        <f t="shared" si="2"/>
        <v>D-LAB002</v>
      </c>
      <c r="L129" s="9"/>
    </row>
    <row r="130" spans="1:12" ht="13" x14ac:dyDescent="0.3">
      <c r="A130" s="23">
        <v>129</v>
      </c>
      <c r="B130" s="24" t="s">
        <v>2331</v>
      </c>
      <c r="C130" s="24" t="s">
        <v>3865</v>
      </c>
      <c r="D130" s="24" t="s">
        <v>3863</v>
      </c>
      <c r="E130" s="23">
        <v>60</v>
      </c>
      <c r="F130" s="23" t="s">
        <v>1532</v>
      </c>
      <c r="G130" s="25" t="str">
        <f t="shared" si="0"/>
        <v>('D-LAB003','Lab. Agrostologi','Fak. Peternakan','60','d'),</v>
      </c>
      <c r="H130" s="24" t="str">
        <f t="shared" ref="H130:H193" si="3">B130</f>
        <v>D-LAB003</v>
      </c>
      <c r="L130" s="9"/>
    </row>
    <row r="131" spans="1:12" ht="13" x14ac:dyDescent="0.3">
      <c r="A131" s="23">
        <v>130</v>
      </c>
      <c r="B131" s="24" t="s">
        <v>2328</v>
      </c>
      <c r="C131" s="24" t="s">
        <v>3866</v>
      </c>
      <c r="D131" s="24" t="s">
        <v>3863</v>
      </c>
      <c r="E131" s="23">
        <v>50</v>
      </c>
      <c r="F131" s="23" t="s">
        <v>1532</v>
      </c>
      <c r="G131" s="25" t="str">
        <f t="shared" si="0"/>
        <v>('D-LAB004','Lab. Industri Pakan','Fak. Peternakan','50','d'),</v>
      </c>
      <c r="H131" s="24" t="str">
        <f t="shared" si="3"/>
        <v>D-LAB004</v>
      </c>
      <c r="L131" s="9"/>
    </row>
    <row r="132" spans="1:12" ht="13" x14ac:dyDescent="0.3">
      <c r="A132" s="23">
        <v>131</v>
      </c>
      <c r="B132" s="24" t="s">
        <v>2348</v>
      </c>
      <c r="C132" s="24" t="s">
        <v>3867</v>
      </c>
      <c r="D132" s="24" t="s">
        <v>3863</v>
      </c>
      <c r="E132" s="23">
        <v>60</v>
      </c>
      <c r="F132" s="23" t="s">
        <v>1532</v>
      </c>
      <c r="G132" s="25" t="str">
        <f t="shared" si="0"/>
        <v>('D-LAB005','Lab. Nutrisi Ternak Perah ( NTP )','Fak. Peternakan','60','d'),</v>
      </c>
      <c r="H132" s="24" t="str">
        <f t="shared" si="3"/>
        <v>D-LAB005</v>
      </c>
      <c r="L132" s="9"/>
    </row>
    <row r="133" spans="1:12" ht="13" x14ac:dyDescent="0.3">
      <c r="A133" s="23">
        <v>132</v>
      </c>
      <c r="B133" s="24" t="s">
        <v>2313</v>
      </c>
      <c r="C133" s="24" t="s">
        <v>3868</v>
      </c>
      <c r="D133" s="24" t="s">
        <v>3863</v>
      </c>
      <c r="E133" s="23">
        <v>60</v>
      </c>
      <c r="F133" s="23" t="s">
        <v>1532</v>
      </c>
      <c r="G133" s="25" t="str">
        <f t="shared" si="0"/>
        <v>('D-LAB006','Lab. Nutrisi Ternak Daging dan Kerja','Fak. Peternakan','60','d'),</v>
      </c>
      <c r="H133" s="24" t="str">
        <f t="shared" si="3"/>
        <v>D-LAB006</v>
      </c>
      <c r="L133" s="9"/>
    </row>
    <row r="134" spans="1:12" ht="13" x14ac:dyDescent="0.3">
      <c r="A134" s="23">
        <v>133</v>
      </c>
      <c r="B134" s="24" t="s">
        <v>3869</v>
      </c>
      <c r="C134" s="24" t="s">
        <v>3870</v>
      </c>
      <c r="D134" s="24" t="s">
        <v>3871</v>
      </c>
      <c r="E134" s="23">
        <v>60</v>
      </c>
      <c r="F134" s="23" t="s">
        <v>1532</v>
      </c>
      <c r="G134" s="25" t="str">
        <f t="shared" si="0"/>
        <v>('D-LAB007','Lab. Tek. Hasil Ternak','Fak. Peternakan Lt 3','60','d'),</v>
      </c>
      <c r="H134" s="24" t="str">
        <f t="shared" si="3"/>
        <v>D-LAB007</v>
      </c>
      <c r="L134" s="9"/>
    </row>
    <row r="135" spans="1:12" ht="13" x14ac:dyDescent="0.3">
      <c r="A135" s="23">
        <v>134</v>
      </c>
      <c r="B135" s="24" t="s">
        <v>2391</v>
      </c>
      <c r="C135" s="24" t="s">
        <v>3872</v>
      </c>
      <c r="D135" s="24" t="s">
        <v>3873</v>
      </c>
      <c r="E135" s="23">
        <v>60</v>
      </c>
      <c r="F135" s="23" t="s">
        <v>1532</v>
      </c>
      <c r="G135" s="25" t="str">
        <f t="shared" si="0"/>
        <v>('D-LAB008','Lab. Daging','Fak. Peternakan Lt 2','60','d'),</v>
      </c>
      <c r="H135" s="24" t="str">
        <f t="shared" si="3"/>
        <v>D-LAB008</v>
      </c>
      <c r="L135" s="9"/>
    </row>
    <row r="136" spans="1:12" ht="13" x14ac:dyDescent="0.3">
      <c r="A136" s="23">
        <v>135</v>
      </c>
      <c r="B136" s="24" t="s">
        <v>2354</v>
      </c>
      <c r="C136" s="24" t="s">
        <v>3874</v>
      </c>
      <c r="D136" s="24" t="s">
        <v>3871</v>
      </c>
      <c r="E136" s="23">
        <v>60</v>
      </c>
      <c r="F136" s="23" t="s">
        <v>1532</v>
      </c>
      <c r="G136" s="25" t="str">
        <f t="shared" si="0"/>
        <v>('D-LAB009','Lab. Genetika','Fak. Peternakan Lt 3','60','d'),</v>
      </c>
      <c r="H136" s="24" t="str">
        <f t="shared" si="3"/>
        <v>D-LAB009</v>
      </c>
      <c r="L136" s="9"/>
    </row>
    <row r="137" spans="1:12" ht="13" x14ac:dyDescent="0.3">
      <c r="A137" s="23">
        <v>136</v>
      </c>
      <c r="B137" s="24" t="s">
        <v>2356</v>
      </c>
      <c r="C137" s="24" t="s">
        <v>3875</v>
      </c>
      <c r="D137" s="24" t="s">
        <v>3873</v>
      </c>
      <c r="E137" s="23">
        <v>60</v>
      </c>
      <c r="F137" s="23" t="s">
        <v>1532</v>
      </c>
      <c r="G137" s="25" t="str">
        <f t="shared" si="0"/>
        <v>('D-LAB010','Lab. Unggas','Fak. Peternakan Lt 2','60','d'),</v>
      </c>
      <c r="H137" s="24" t="str">
        <f t="shared" si="3"/>
        <v>D-LAB010</v>
      </c>
      <c r="L137" s="9"/>
    </row>
    <row r="138" spans="1:12" ht="13" x14ac:dyDescent="0.3">
      <c r="A138" s="23">
        <v>137</v>
      </c>
      <c r="B138" s="24" t="s">
        <v>3876</v>
      </c>
      <c r="C138" s="24" t="s">
        <v>3877</v>
      </c>
      <c r="D138" s="24" t="s">
        <v>3863</v>
      </c>
      <c r="E138" s="23">
        <v>60</v>
      </c>
      <c r="F138" s="23" t="s">
        <v>1532</v>
      </c>
      <c r="G138" s="25" t="str">
        <f t="shared" si="0"/>
        <v>('D-LAB011','Lab. Domba','Fak. Peternakan','60','d'),</v>
      </c>
      <c r="H138" s="24" t="str">
        <f t="shared" si="3"/>
        <v>D-LAB011</v>
      </c>
      <c r="L138" s="9"/>
    </row>
    <row r="139" spans="1:12" ht="13" x14ac:dyDescent="0.3">
      <c r="A139" s="23">
        <v>138</v>
      </c>
      <c r="B139" s="24" t="s">
        <v>2419</v>
      </c>
      <c r="C139" s="24" t="s">
        <v>3878</v>
      </c>
      <c r="D139" s="24" t="s">
        <v>3863</v>
      </c>
      <c r="E139" s="23">
        <v>60</v>
      </c>
      <c r="F139" s="23" t="s">
        <v>1532</v>
      </c>
      <c r="G139" s="25" t="str">
        <f t="shared" si="0"/>
        <v>('D-LAB012','Lab. Lapang FAPET','Fak. Peternakan','60','d'),</v>
      </c>
      <c r="H139" s="24" t="str">
        <f t="shared" si="3"/>
        <v>D-LAB012</v>
      </c>
      <c r="L139" s="9"/>
    </row>
    <row r="140" spans="1:12" ht="13" x14ac:dyDescent="0.3">
      <c r="A140" s="23">
        <v>139</v>
      </c>
      <c r="B140" s="24" t="s">
        <v>2333</v>
      </c>
      <c r="C140" s="24" t="s">
        <v>3879</v>
      </c>
      <c r="D140" s="24" t="s">
        <v>3863</v>
      </c>
      <c r="E140" s="23">
        <v>60</v>
      </c>
      <c r="F140" s="23" t="s">
        <v>1532</v>
      </c>
      <c r="G140" s="25" t="str">
        <f t="shared" si="0"/>
        <v>('D-LAB013','Lab. Fisiologi (BFM)','Fak. Peternakan','60','d'),</v>
      </c>
      <c r="H140" s="24" t="str">
        <f t="shared" si="3"/>
        <v>D-LAB013</v>
      </c>
      <c r="L140" s="9"/>
    </row>
    <row r="141" spans="1:12" ht="13" x14ac:dyDescent="0.3">
      <c r="A141" s="23">
        <v>140</v>
      </c>
      <c r="B141" s="24" t="s">
        <v>2325</v>
      </c>
      <c r="C141" s="24" t="s">
        <v>3880</v>
      </c>
      <c r="D141" s="24" t="s">
        <v>3863</v>
      </c>
      <c r="E141" s="23">
        <v>60</v>
      </c>
      <c r="F141" s="23" t="s">
        <v>1532</v>
      </c>
      <c r="G141" s="25" t="str">
        <f t="shared" si="0"/>
        <v>('D-LAB014','Lab. produksi Perah','Fak. Peternakan','60','d'),</v>
      </c>
      <c r="H141" s="24" t="str">
        <f t="shared" si="3"/>
        <v>D-LAB014</v>
      </c>
      <c r="L141" s="9"/>
    </row>
    <row r="142" spans="1:12" ht="13" x14ac:dyDescent="0.3">
      <c r="A142" s="23">
        <v>141</v>
      </c>
      <c r="B142" s="24" t="s">
        <v>3881</v>
      </c>
      <c r="C142" s="24" t="s">
        <v>3882</v>
      </c>
      <c r="D142" s="24" t="s">
        <v>3863</v>
      </c>
      <c r="E142" s="23">
        <v>60</v>
      </c>
      <c r="F142" s="23" t="s">
        <v>1532</v>
      </c>
      <c r="G142" s="25" t="str">
        <f t="shared" si="0"/>
        <v>('D-LAB015','Lab. Reproduksi','Fak. Peternakan','60','d'),</v>
      </c>
      <c r="H142" s="24" t="str">
        <f t="shared" si="3"/>
        <v>D-LAB015</v>
      </c>
      <c r="L142" s="9"/>
    </row>
    <row r="143" spans="1:12" ht="13" x14ac:dyDescent="0.3">
      <c r="A143" s="23">
        <v>142</v>
      </c>
      <c r="B143" s="24" t="s">
        <v>2368</v>
      </c>
      <c r="C143" s="24" t="s">
        <v>3883</v>
      </c>
      <c r="D143" s="24" t="s">
        <v>3863</v>
      </c>
      <c r="E143" s="23">
        <v>60</v>
      </c>
      <c r="F143" s="23" t="s">
        <v>1532</v>
      </c>
      <c r="G143" s="25" t="str">
        <f t="shared" si="0"/>
        <v>('D-LAB016','Lab. Reproduksi Ruminansia Besar','Fak. Peternakan','60','d'),</v>
      </c>
      <c r="H143" s="24" t="str">
        <f t="shared" si="3"/>
        <v>D-LAB016</v>
      </c>
      <c r="L143" s="9"/>
    </row>
    <row r="144" spans="1:12" ht="13" x14ac:dyDescent="0.3">
      <c r="A144" s="23">
        <v>143</v>
      </c>
      <c r="B144" s="24" t="s">
        <v>2345</v>
      </c>
      <c r="C144" s="24" t="s">
        <v>3884</v>
      </c>
      <c r="D144" s="24" t="s">
        <v>3863</v>
      </c>
      <c r="E144" s="23">
        <v>60</v>
      </c>
      <c r="F144" s="23" t="s">
        <v>1532</v>
      </c>
      <c r="G144" s="25" t="str">
        <f t="shared" si="0"/>
        <v>('D-LAB017','Lab. Mikrobiologi Nutrisi','Fak. Peternakan','60','d'),</v>
      </c>
      <c r="H144" s="24" t="str">
        <f t="shared" si="3"/>
        <v>D-LAB017</v>
      </c>
      <c r="L144" s="9"/>
    </row>
    <row r="145" spans="1:12" ht="13" x14ac:dyDescent="0.3">
      <c r="A145" s="23">
        <v>144</v>
      </c>
      <c r="B145" s="24" t="s">
        <v>2319</v>
      </c>
      <c r="C145" s="24" t="s">
        <v>3885</v>
      </c>
      <c r="D145" s="24" t="s">
        <v>3886</v>
      </c>
      <c r="E145" s="23">
        <v>100</v>
      </c>
      <c r="F145" s="23" t="s">
        <v>1532</v>
      </c>
      <c r="G145" s="25" t="str">
        <f t="shared" si="0"/>
        <v>('D-SEM001','Ruang Seminar FAPET','Fak. Peternakan Lt 4','100','d'),</v>
      </c>
      <c r="H145" s="24" t="str">
        <f t="shared" si="3"/>
        <v>D-SEM001</v>
      </c>
      <c r="L145" s="9"/>
    </row>
    <row r="146" spans="1:12" ht="13" x14ac:dyDescent="0.3">
      <c r="A146" s="23">
        <v>145</v>
      </c>
      <c r="B146" s="24" t="s">
        <v>2492</v>
      </c>
      <c r="C146" s="24" t="s">
        <v>3887</v>
      </c>
      <c r="D146" s="24" t="s">
        <v>3888</v>
      </c>
      <c r="E146" s="23">
        <v>50</v>
      </c>
      <c r="F146" s="23" t="s">
        <v>1534</v>
      </c>
      <c r="G146" s="25" t="str">
        <f t="shared" si="0"/>
        <v>('0000A04','RK. A-4 (Gd. Poleksoshut Lt. 2)','ex. Faperikan','50','e'),</v>
      </c>
      <c r="H146" s="24" t="str">
        <f t="shared" si="3"/>
        <v>0000A04</v>
      </c>
      <c r="L146" s="9"/>
    </row>
    <row r="147" spans="1:12" ht="13" x14ac:dyDescent="0.3">
      <c r="A147" s="23">
        <v>146</v>
      </c>
      <c r="B147" s="24" t="s">
        <v>2447</v>
      </c>
      <c r="C147" s="24" t="s">
        <v>3889</v>
      </c>
      <c r="D147" s="24" t="s">
        <v>3890</v>
      </c>
      <c r="E147" s="23">
        <v>83</v>
      </c>
      <c r="F147" s="23" t="s">
        <v>1534</v>
      </c>
      <c r="G147" s="25" t="str">
        <f t="shared" si="0"/>
        <v>('E000AUD1','RK. Audi-1 (Auditorium 1)','Gedung Fahutan (EXS Gudang)','83','e'),</v>
      </c>
      <c r="H147" s="24" t="str">
        <f t="shared" si="3"/>
        <v>E000AUD1</v>
      </c>
      <c r="L147" s="9"/>
    </row>
    <row r="148" spans="1:12" ht="13" x14ac:dyDescent="0.3">
      <c r="A148" s="23">
        <v>147</v>
      </c>
      <c r="B148" s="24" t="s">
        <v>3891</v>
      </c>
      <c r="C148" s="24" t="s">
        <v>3892</v>
      </c>
      <c r="D148" s="24" t="s">
        <v>3893</v>
      </c>
      <c r="E148" s="23">
        <v>0</v>
      </c>
      <c r="F148" s="23" t="s">
        <v>1534</v>
      </c>
      <c r="G148" s="25" t="str">
        <f t="shared" si="0"/>
        <v>('E000AUD2','RK. Audi-2 (Auditorium 2)','Gedung ex. Gudang','0','e'),</v>
      </c>
      <c r="H148" s="24" t="str">
        <f t="shared" si="3"/>
        <v>E000AUD2</v>
      </c>
      <c r="L148" s="9"/>
    </row>
    <row r="149" spans="1:12" ht="13" x14ac:dyDescent="0.3">
      <c r="A149" s="23">
        <v>148</v>
      </c>
      <c r="B149" s="24" t="s">
        <v>2453</v>
      </c>
      <c r="C149" s="24" t="s">
        <v>3894</v>
      </c>
      <c r="D149" s="24" t="s">
        <v>3893</v>
      </c>
      <c r="E149" s="23">
        <v>0</v>
      </c>
      <c r="F149" s="23" t="s">
        <v>1534</v>
      </c>
      <c r="G149" s="25" t="str">
        <f t="shared" si="0"/>
        <v>('E000AUD3','RK. Audi-3 (Auditorium 3)','Gedung ex. Gudang','0','e'),</v>
      </c>
      <c r="H149" s="24" t="str">
        <f t="shared" si="3"/>
        <v>E000AUD3</v>
      </c>
      <c r="L149" s="9"/>
    </row>
    <row r="150" spans="1:12" ht="13" x14ac:dyDescent="0.3">
      <c r="A150" s="23">
        <v>149</v>
      </c>
      <c r="B150" s="24" t="s">
        <v>3895</v>
      </c>
      <c r="C150" s="24" t="s">
        <v>3896</v>
      </c>
      <c r="D150" s="24" t="s">
        <v>3893</v>
      </c>
      <c r="E150" s="23">
        <v>0</v>
      </c>
      <c r="F150" s="23" t="s">
        <v>1534</v>
      </c>
      <c r="G150" s="25" t="str">
        <f t="shared" si="0"/>
        <v>('E000AUD4','RK. Audi-4 (Auditorium 4)','Gedung ex. Gudang','0','e'),</v>
      </c>
      <c r="H150" s="24" t="str">
        <f t="shared" si="3"/>
        <v>E000AUD4</v>
      </c>
      <c r="L150" s="9"/>
    </row>
    <row r="151" spans="1:12" ht="13" x14ac:dyDescent="0.3">
      <c r="A151" s="23">
        <v>150</v>
      </c>
      <c r="B151" s="24" t="s">
        <v>3897</v>
      </c>
      <c r="C151" s="24" t="s">
        <v>3898</v>
      </c>
      <c r="D151" s="24" t="s">
        <v>3890</v>
      </c>
      <c r="E151" s="23">
        <v>150</v>
      </c>
      <c r="F151" s="23" t="s">
        <v>1534</v>
      </c>
      <c r="G151" s="25" t="str">
        <f t="shared" si="0"/>
        <v>('E000AUD5','RK.X-Audi (Auditorium 2-3)','Gedung Fahutan (EXS Gudang)','150','e'),</v>
      </c>
      <c r="H151" s="24" t="str">
        <f t="shared" si="3"/>
        <v>E000AUD5</v>
      </c>
      <c r="L151" s="9"/>
    </row>
    <row r="152" spans="1:12" ht="13" x14ac:dyDescent="0.3">
      <c r="A152" s="23">
        <v>151</v>
      </c>
      <c r="B152" s="24" t="s">
        <v>2455</v>
      </c>
      <c r="C152" s="24" t="s">
        <v>3899</v>
      </c>
      <c r="D152" s="24" t="s">
        <v>3900</v>
      </c>
      <c r="E152" s="23">
        <v>0</v>
      </c>
      <c r="F152" s="23" t="s">
        <v>1534</v>
      </c>
      <c r="G152" s="25" t="str">
        <f t="shared" si="0"/>
        <v>('E000DA3A','RK. Darmaga 3A','Gedung Rk. Darmaga (ex. Rk. TPB Darmaga)','0','e'),</v>
      </c>
      <c r="H152" s="24" t="str">
        <f t="shared" si="3"/>
        <v>E000DA3A</v>
      </c>
      <c r="L152" s="9"/>
    </row>
    <row r="153" spans="1:12" ht="13" x14ac:dyDescent="0.3">
      <c r="A153" s="23">
        <v>152</v>
      </c>
      <c r="B153" s="24" t="s">
        <v>2444</v>
      </c>
      <c r="C153" s="24" t="s">
        <v>3901</v>
      </c>
      <c r="D153" s="24" t="s">
        <v>3900</v>
      </c>
      <c r="E153" s="23">
        <v>0</v>
      </c>
      <c r="F153" s="23" t="s">
        <v>1534</v>
      </c>
      <c r="G153" s="25" t="str">
        <f t="shared" si="0"/>
        <v>('E000DA3B','RK. Darmaga 3B','Gedung Rk. Darmaga (ex. Rk. TPB Darmaga)','0','e'),</v>
      </c>
      <c r="H153" s="24" t="str">
        <f t="shared" si="3"/>
        <v>E000DA3B</v>
      </c>
      <c r="L153" s="9"/>
    </row>
    <row r="154" spans="1:12" ht="13" x14ac:dyDescent="0.3">
      <c r="A154" s="23">
        <v>153</v>
      </c>
      <c r="B154" s="24" t="s">
        <v>3902</v>
      </c>
      <c r="C154" s="24" t="s">
        <v>3903</v>
      </c>
      <c r="D154" s="24" t="s">
        <v>3900</v>
      </c>
      <c r="E154" s="23">
        <v>0</v>
      </c>
      <c r="F154" s="23" t="s">
        <v>1534</v>
      </c>
      <c r="G154" s="25" t="str">
        <f t="shared" si="0"/>
        <v>('E000DA4A','RK. Darmaga 4A','Gedung Rk. Darmaga (ex. Rk. TPB Darmaga)','0','e'),</v>
      </c>
      <c r="H154" s="24" t="str">
        <f t="shared" si="3"/>
        <v>E000DA4A</v>
      </c>
      <c r="L154" s="9"/>
    </row>
    <row r="155" spans="1:12" ht="13" x14ac:dyDescent="0.3">
      <c r="A155" s="23">
        <v>154</v>
      </c>
      <c r="B155" s="24" t="s">
        <v>2511</v>
      </c>
      <c r="C155" s="24" t="s">
        <v>3904</v>
      </c>
      <c r="D155" s="24" t="s">
        <v>3900</v>
      </c>
      <c r="E155" s="23">
        <v>0</v>
      </c>
      <c r="F155" s="23" t="s">
        <v>1534</v>
      </c>
      <c r="G155" s="25" t="str">
        <f t="shared" si="0"/>
        <v>('E000DA4B','RK. Darmaga 4B','Gedung Rk. Darmaga (ex. Rk. TPB Darmaga)','0','e'),</v>
      </c>
      <c r="H155" s="24" t="str">
        <f t="shared" si="3"/>
        <v>E000DA4B</v>
      </c>
      <c r="L155" s="9"/>
    </row>
    <row r="156" spans="1:12" ht="13" x14ac:dyDescent="0.3">
      <c r="A156" s="23">
        <v>155</v>
      </c>
      <c r="B156" s="24" t="s">
        <v>3905</v>
      </c>
      <c r="C156" s="24" t="s">
        <v>3906</v>
      </c>
      <c r="D156" s="24" t="s">
        <v>3900</v>
      </c>
      <c r="E156" s="23">
        <v>0</v>
      </c>
      <c r="F156" s="23" t="s">
        <v>1534</v>
      </c>
      <c r="G156" s="25" t="str">
        <f t="shared" si="0"/>
        <v>('E000DAR1','RK. Darmaga 1','Gedung Rk. Darmaga (ex. Rk. TPB Darmaga)','0','e'),</v>
      </c>
      <c r="H156" s="24" t="str">
        <f t="shared" si="3"/>
        <v>E000DAR1</v>
      </c>
      <c r="L156" s="9"/>
    </row>
    <row r="157" spans="1:12" ht="13" x14ac:dyDescent="0.3">
      <c r="A157" s="23">
        <v>156</v>
      </c>
      <c r="B157" s="24" t="s">
        <v>2476</v>
      </c>
      <c r="C157" s="24" t="s">
        <v>3907</v>
      </c>
      <c r="D157" s="24" t="s">
        <v>3900</v>
      </c>
      <c r="E157" s="23">
        <v>0</v>
      </c>
      <c r="F157" s="23" t="s">
        <v>1534</v>
      </c>
      <c r="G157" s="25" t="str">
        <f t="shared" si="0"/>
        <v>('E000DAR2','RK. Darmaga 2','Gedung Rk. Darmaga (ex. Rk. TPB Darmaga)','0','e'),</v>
      </c>
      <c r="H157" s="24" t="str">
        <f t="shared" si="3"/>
        <v>E000DAR2</v>
      </c>
      <c r="L157" s="9"/>
    </row>
    <row r="158" spans="1:12" ht="13" x14ac:dyDescent="0.3">
      <c r="A158" s="23">
        <v>157</v>
      </c>
      <c r="B158" s="24" t="s">
        <v>3908</v>
      </c>
      <c r="C158" s="24" t="s">
        <v>3909</v>
      </c>
      <c r="D158" s="24" t="s">
        <v>3910</v>
      </c>
      <c r="E158" s="23">
        <v>55</v>
      </c>
      <c r="F158" s="23" t="s">
        <v>1534</v>
      </c>
      <c r="G158" s="25" t="str">
        <f t="shared" si="0"/>
        <v>('E000EKOL','Lab. Ekol. Satwa Liar','Gedung KSH lantai 1','55','e'),</v>
      </c>
      <c r="H158" s="24" t="str">
        <f t="shared" si="3"/>
        <v>E000EKOL</v>
      </c>
      <c r="L158" s="9"/>
    </row>
    <row r="159" spans="1:12" ht="13" x14ac:dyDescent="0.3">
      <c r="A159" s="23">
        <v>158</v>
      </c>
      <c r="B159" s="24" t="s">
        <v>2438</v>
      </c>
      <c r="C159" s="24" t="s">
        <v>3911</v>
      </c>
      <c r="D159" s="24" t="s">
        <v>3912</v>
      </c>
      <c r="E159" s="23">
        <v>40</v>
      </c>
      <c r="F159" s="23" t="s">
        <v>1534</v>
      </c>
      <c r="G159" s="25" t="str">
        <f t="shared" si="0"/>
        <v>('E000G102','Lab. GPHH 102 (Ergonomi)','Gedung GPHH','40','e'),</v>
      </c>
      <c r="H159" s="24" t="str">
        <f t="shared" si="3"/>
        <v>E000G102</v>
      </c>
      <c r="L159" s="9"/>
    </row>
    <row r="160" spans="1:12" ht="13" x14ac:dyDescent="0.3">
      <c r="A160" s="23">
        <v>159</v>
      </c>
      <c r="B160" s="24" t="s">
        <v>3913</v>
      </c>
      <c r="C160" s="24" t="s">
        <v>3914</v>
      </c>
      <c r="D160" s="24" t="s">
        <v>3912</v>
      </c>
      <c r="E160" s="23">
        <v>60</v>
      </c>
      <c r="F160" s="23" t="s">
        <v>1534</v>
      </c>
      <c r="G160" s="25" t="str">
        <f t="shared" si="0"/>
        <v>('E000G103','Lab. GPHH 103 (Permanen Hasil Hutan)','Gedung GPHH','60','e'),</v>
      </c>
      <c r="H160" s="24" t="str">
        <f t="shared" si="3"/>
        <v>E000G103</v>
      </c>
      <c r="L160" s="9"/>
    </row>
    <row r="161" spans="1:12" ht="13" x14ac:dyDescent="0.3">
      <c r="A161" s="23">
        <v>160</v>
      </c>
      <c r="B161" s="24" t="s">
        <v>3915</v>
      </c>
      <c r="C161" s="24" t="s">
        <v>3916</v>
      </c>
      <c r="D161" s="24" t="s">
        <v>3912</v>
      </c>
      <c r="E161" s="23">
        <v>40</v>
      </c>
      <c r="F161" s="23" t="s">
        <v>1534</v>
      </c>
      <c r="G161" s="25" t="str">
        <f t="shared" si="0"/>
        <v>('E000G104','Lab. GPHH 104 (Pemanenan Hasil Hutan)','Gedung GPHH','40','e'),</v>
      </c>
      <c r="H161" s="24" t="str">
        <f t="shared" si="3"/>
        <v>E000G104</v>
      </c>
      <c r="L161" s="9"/>
    </row>
    <row r="162" spans="1:12" ht="13" x14ac:dyDescent="0.3">
      <c r="A162" s="23">
        <v>161</v>
      </c>
      <c r="B162" s="24" t="s">
        <v>3917</v>
      </c>
      <c r="C162" s="24" t="s">
        <v>3918</v>
      </c>
      <c r="D162" s="24" t="s">
        <v>3912</v>
      </c>
      <c r="E162" s="23">
        <v>60</v>
      </c>
      <c r="F162" s="23" t="s">
        <v>1534</v>
      </c>
      <c r="G162" s="25" t="str">
        <f t="shared" si="0"/>
        <v>('E000G105','Lab. GPHH 105 (Pemanenan Hasil Hutan)','Gedung GPHH','60','e'),</v>
      </c>
      <c r="H162" s="24" t="str">
        <f t="shared" si="3"/>
        <v>E000G105</v>
      </c>
      <c r="L162" s="9"/>
    </row>
    <row r="163" spans="1:12" ht="13" x14ac:dyDescent="0.3">
      <c r="A163" s="23">
        <v>162</v>
      </c>
      <c r="B163" s="24" t="s">
        <v>2478</v>
      </c>
      <c r="C163" s="24" t="s">
        <v>3919</v>
      </c>
      <c r="D163" s="24" t="s">
        <v>3920</v>
      </c>
      <c r="E163" s="23">
        <v>40</v>
      </c>
      <c r="F163" s="23" t="s">
        <v>1534</v>
      </c>
      <c r="G163" s="25" t="str">
        <f t="shared" si="0"/>
        <v>('E000GERG','Lab. Gergaji','Gedung Penggergajian','40','e'),</v>
      </c>
      <c r="H163" s="24" t="str">
        <f t="shared" si="3"/>
        <v>E000GERG</v>
      </c>
      <c r="L163" s="9"/>
    </row>
    <row r="164" spans="1:12" ht="13" x14ac:dyDescent="0.3">
      <c r="A164" s="23">
        <v>163</v>
      </c>
      <c r="B164" s="24" t="s">
        <v>3921</v>
      </c>
      <c r="C164" s="24" t="s">
        <v>3922</v>
      </c>
      <c r="D164" s="24" t="s">
        <v>3923</v>
      </c>
      <c r="E164" s="23">
        <v>40</v>
      </c>
      <c r="F164" s="23" t="s">
        <v>1534</v>
      </c>
      <c r="G164" s="25" t="str">
        <f t="shared" si="0"/>
        <v>('E000INVN','Lab. Invent.','Fahutan','40','e'),</v>
      </c>
      <c r="H164" s="24" t="str">
        <f t="shared" si="3"/>
        <v>E000INVN</v>
      </c>
      <c r="L164" s="9"/>
    </row>
    <row r="165" spans="1:12" ht="13" x14ac:dyDescent="0.3">
      <c r="A165" s="23">
        <v>164</v>
      </c>
      <c r="B165" s="24" t="s">
        <v>3924</v>
      </c>
      <c r="C165" s="24" t="s">
        <v>3925</v>
      </c>
      <c r="D165" s="24" t="s">
        <v>3923</v>
      </c>
      <c r="E165" s="23">
        <v>40</v>
      </c>
      <c r="F165" s="23" t="s">
        <v>1534</v>
      </c>
      <c r="G165" s="25" t="str">
        <f t="shared" si="0"/>
        <v>('E000KIM1','Lab. Kimia Kayu','Fahutan','40','e'),</v>
      </c>
      <c r="H165" s="24" t="str">
        <f t="shared" si="3"/>
        <v>E000KIM1</v>
      </c>
      <c r="L165" s="9"/>
    </row>
    <row r="166" spans="1:12" ht="13" x14ac:dyDescent="0.3">
      <c r="A166" s="23">
        <v>165</v>
      </c>
      <c r="B166" s="24" t="s">
        <v>3926</v>
      </c>
      <c r="C166" s="24" t="s">
        <v>3927</v>
      </c>
      <c r="D166" s="24" t="s">
        <v>3928</v>
      </c>
      <c r="E166" s="23">
        <v>40</v>
      </c>
      <c r="F166" s="23" t="s">
        <v>1534</v>
      </c>
      <c r="G166" s="25" t="str">
        <f t="shared" si="0"/>
        <v>('E000LBIO','Lab. Komputer Biometrika GU 309','Gedung Pusat Fahutan','40','e'),</v>
      </c>
      <c r="H166" s="24" t="str">
        <f t="shared" si="3"/>
        <v>E000LBIO</v>
      </c>
      <c r="L166" s="9"/>
    </row>
    <row r="167" spans="1:12" ht="13" x14ac:dyDescent="0.3">
      <c r="A167" s="23">
        <v>166</v>
      </c>
      <c r="B167" s="24" t="s">
        <v>3929</v>
      </c>
      <c r="C167" s="24" t="s">
        <v>3930</v>
      </c>
      <c r="D167" s="24" t="s">
        <v>3931</v>
      </c>
      <c r="E167" s="23">
        <v>60</v>
      </c>
      <c r="F167" s="23" t="s">
        <v>1534</v>
      </c>
      <c r="G167" s="25" t="str">
        <f t="shared" si="0"/>
        <v>('E000LPPU','Lab. LPPU (Potret Udara)','Gedung Foto Udara','60','e'),</v>
      </c>
      <c r="H167" s="24" t="str">
        <f t="shared" si="3"/>
        <v>E000LPPU</v>
      </c>
      <c r="L167" s="9"/>
    </row>
    <row r="168" spans="1:12" ht="13" x14ac:dyDescent="0.3">
      <c r="A168" s="23">
        <v>167</v>
      </c>
      <c r="B168" s="24" t="s">
        <v>3932</v>
      </c>
      <c r="C168" s="24" t="s">
        <v>3933</v>
      </c>
      <c r="D168" s="24" t="s">
        <v>3928</v>
      </c>
      <c r="E168" s="23">
        <v>50</v>
      </c>
      <c r="F168" s="23" t="s">
        <v>1534</v>
      </c>
      <c r="G168" s="25" t="str">
        <f t="shared" si="0"/>
        <v>('E000S105','Lab. SK 105 (Silvikultur)','Gedung Pusat Fahutan','50','e'),</v>
      </c>
      <c r="H168" s="24" t="str">
        <f t="shared" si="3"/>
        <v>E000S105</v>
      </c>
      <c r="L168" s="9"/>
    </row>
    <row r="169" spans="1:12" ht="13" x14ac:dyDescent="0.3">
      <c r="A169" s="23">
        <v>168</v>
      </c>
      <c r="B169" s="24" t="s">
        <v>3934</v>
      </c>
      <c r="C169" s="24" t="s">
        <v>3935</v>
      </c>
      <c r="D169" s="24" t="s">
        <v>3923</v>
      </c>
      <c r="E169" s="23">
        <v>150</v>
      </c>
      <c r="F169" s="23" t="s">
        <v>1534</v>
      </c>
      <c r="G169" s="25" t="str">
        <f t="shared" si="0"/>
        <v>('E000SILVA','RK. SILVA PERTAMINA','Fahutan','150','e'),</v>
      </c>
      <c r="H169" s="24" t="str">
        <f t="shared" si="3"/>
        <v>E000SILVA</v>
      </c>
      <c r="L169" s="9"/>
    </row>
    <row r="170" spans="1:12" ht="13" x14ac:dyDescent="0.3">
      <c r="A170" s="23">
        <v>169</v>
      </c>
      <c r="B170" s="24" t="s">
        <v>2490</v>
      </c>
      <c r="C170" s="24" t="s">
        <v>3936</v>
      </c>
      <c r="D170" s="24" t="s">
        <v>3923</v>
      </c>
      <c r="E170" s="23">
        <v>46</v>
      </c>
      <c r="F170" s="23" t="s">
        <v>1534</v>
      </c>
      <c r="G170" s="25" t="str">
        <f t="shared" si="0"/>
        <v>('E000SSK1','Lab. SSK-1','Fahutan','46','e'),</v>
      </c>
      <c r="H170" s="24" t="str">
        <f t="shared" si="3"/>
        <v>E000SSK1</v>
      </c>
      <c r="L170" s="9"/>
    </row>
    <row r="171" spans="1:12" ht="13" x14ac:dyDescent="0.3">
      <c r="A171" s="23">
        <v>170</v>
      </c>
      <c r="B171" s="24" t="s">
        <v>3937</v>
      </c>
      <c r="C171" s="24" t="s">
        <v>3938</v>
      </c>
      <c r="D171" s="24" t="s">
        <v>3939</v>
      </c>
      <c r="E171" s="23">
        <v>45</v>
      </c>
      <c r="F171" s="23" t="s">
        <v>1534</v>
      </c>
      <c r="G171" s="25" t="str">
        <f t="shared" si="0"/>
        <v>('E000SSK2','Lab. SSK-2','Gd. Fahutan (Sulvikultur)','45','e'),</v>
      </c>
      <c r="H171" s="24" t="str">
        <f t="shared" si="3"/>
        <v>E000SSK2</v>
      </c>
      <c r="L171" s="9"/>
    </row>
    <row r="172" spans="1:12" ht="13" x14ac:dyDescent="0.3">
      <c r="A172" s="23">
        <v>171</v>
      </c>
      <c r="B172" s="24" t="s">
        <v>3940</v>
      </c>
      <c r="C172" s="24" t="s">
        <v>3941</v>
      </c>
      <c r="D172" s="24" t="s">
        <v>3923</v>
      </c>
      <c r="E172" s="23">
        <v>0</v>
      </c>
      <c r="F172" s="23" t="s">
        <v>1534</v>
      </c>
      <c r="G172" s="25" t="str">
        <f t="shared" si="0"/>
        <v>('E000X021','RK. X.021','Fahutan','0','e'),</v>
      </c>
      <c r="H172" s="24" t="str">
        <f t="shared" si="3"/>
        <v>E000X021</v>
      </c>
      <c r="L172" s="9"/>
    </row>
    <row r="173" spans="1:12" ht="13" x14ac:dyDescent="0.3">
      <c r="A173" s="23">
        <v>172</v>
      </c>
      <c r="B173" s="24" t="s">
        <v>2470</v>
      </c>
      <c r="C173" s="24" t="s">
        <v>3942</v>
      </c>
      <c r="D173" s="24" t="s">
        <v>3923</v>
      </c>
      <c r="E173" s="23">
        <v>0</v>
      </c>
      <c r="F173" s="23" t="s">
        <v>1534</v>
      </c>
      <c r="G173" s="25" t="str">
        <f t="shared" si="0"/>
        <v>('E000X022','RK. X.022','Fahutan','0','e'),</v>
      </c>
      <c r="H173" s="24" t="str">
        <f t="shared" si="3"/>
        <v>E000X022</v>
      </c>
      <c r="L173" s="9"/>
    </row>
    <row r="174" spans="1:12" ht="13" x14ac:dyDescent="0.3">
      <c r="A174" s="23">
        <v>173</v>
      </c>
      <c r="B174" s="24" t="s">
        <v>2464</v>
      </c>
      <c r="C174" s="24" t="s">
        <v>3943</v>
      </c>
      <c r="D174" s="24" t="s">
        <v>3923</v>
      </c>
      <c r="E174" s="23">
        <v>70</v>
      </c>
      <c r="F174" s="23" t="s">
        <v>1534</v>
      </c>
      <c r="G174" s="25" t="str">
        <f t="shared" si="0"/>
        <v>('E000X031','RK. X.301','Fahutan','70','e'),</v>
      </c>
      <c r="H174" s="24" t="str">
        <f t="shared" si="3"/>
        <v>E000X031</v>
      </c>
      <c r="L174" s="9"/>
    </row>
    <row r="175" spans="1:12" ht="13" x14ac:dyDescent="0.3">
      <c r="A175" s="23">
        <v>174</v>
      </c>
      <c r="B175" s="24" t="s">
        <v>3944</v>
      </c>
      <c r="C175" s="24" t="s">
        <v>3945</v>
      </c>
      <c r="D175" s="24" t="s">
        <v>3923</v>
      </c>
      <c r="E175" s="23">
        <v>70</v>
      </c>
      <c r="F175" s="23" t="s">
        <v>1534</v>
      </c>
      <c r="G175" s="25" t="str">
        <f t="shared" si="0"/>
        <v>('E000X032','RK. X.302','Fahutan','70','e'),</v>
      </c>
      <c r="H175" s="24" t="str">
        <f t="shared" si="3"/>
        <v>E000X032</v>
      </c>
      <c r="L175" s="9"/>
    </row>
    <row r="176" spans="1:12" ht="13" x14ac:dyDescent="0.3">
      <c r="A176" s="23">
        <v>175</v>
      </c>
      <c r="B176" s="24" t="s">
        <v>3946</v>
      </c>
      <c r="C176" s="24" t="s">
        <v>3947</v>
      </c>
      <c r="D176" s="24" t="s">
        <v>3923</v>
      </c>
      <c r="E176" s="23">
        <v>70</v>
      </c>
      <c r="F176" s="23" t="s">
        <v>1534</v>
      </c>
      <c r="G176" s="25" t="str">
        <f t="shared" si="0"/>
        <v>('E000X033','RK. X.303','Fahutan','70','e'),</v>
      </c>
      <c r="H176" s="24" t="str">
        <f t="shared" si="3"/>
        <v>E000X033</v>
      </c>
      <c r="L176" s="9"/>
    </row>
    <row r="177" spans="1:12" ht="13" x14ac:dyDescent="0.3">
      <c r="A177" s="23">
        <v>176</v>
      </c>
      <c r="B177" s="24" t="s">
        <v>2467</v>
      </c>
      <c r="C177" s="24" t="s">
        <v>3948</v>
      </c>
      <c r="D177" s="24" t="s">
        <v>3923</v>
      </c>
      <c r="E177" s="23">
        <v>72</v>
      </c>
      <c r="F177" s="23" t="s">
        <v>1534</v>
      </c>
      <c r="G177" s="25" t="str">
        <f t="shared" si="0"/>
        <v>('E000X034','RK. X.304','Fahutan','72','e'),</v>
      </c>
      <c r="H177" s="24" t="str">
        <f t="shared" si="3"/>
        <v>E000X034</v>
      </c>
      <c r="L177" s="9"/>
    </row>
    <row r="178" spans="1:12" ht="13" x14ac:dyDescent="0.3">
      <c r="A178" s="23">
        <v>177</v>
      </c>
      <c r="B178" s="24" t="s">
        <v>2486</v>
      </c>
      <c r="C178" s="24" t="s">
        <v>3949</v>
      </c>
      <c r="D178" s="24" t="s">
        <v>3923</v>
      </c>
      <c r="E178" s="23">
        <v>80</v>
      </c>
      <c r="F178" s="23" t="s">
        <v>1534</v>
      </c>
      <c r="G178" s="25" t="str">
        <f t="shared" si="0"/>
        <v>('E000X035','RK. X.305','Fahutan','80','e'),</v>
      </c>
      <c r="H178" s="24" t="str">
        <f t="shared" si="3"/>
        <v>E000X035</v>
      </c>
      <c r="L178" s="9"/>
    </row>
    <row r="179" spans="1:12" ht="13" x14ac:dyDescent="0.3">
      <c r="A179" s="23">
        <v>178</v>
      </c>
      <c r="B179" s="24" t="s">
        <v>2494</v>
      </c>
      <c r="C179" s="24" t="s">
        <v>3950</v>
      </c>
      <c r="D179" s="24" t="s">
        <v>3951</v>
      </c>
      <c r="E179" s="23">
        <v>0</v>
      </c>
      <c r="F179" s="23" t="s">
        <v>1534</v>
      </c>
      <c r="G179" s="25" t="str">
        <f t="shared" si="0"/>
        <v>('E000X107','RK. X107','RK. baru Fahutan','0','e'),</v>
      </c>
      <c r="H179" s="24" t="str">
        <f t="shared" si="3"/>
        <v>E000X107</v>
      </c>
      <c r="L179" s="9"/>
    </row>
    <row r="180" spans="1:12" ht="13" x14ac:dyDescent="0.3">
      <c r="A180" s="23">
        <v>179</v>
      </c>
      <c r="B180" s="24" t="s">
        <v>2441</v>
      </c>
      <c r="C180" s="24" t="s">
        <v>3952</v>
      </c>
      <c r="D180" s="24" t="s">
        <v>3953</v>
      </c>
      <c r="E180" s="23">
        <v>150</v>
      </c>
      <c r="F180" s="23" t="s">
        <v>1534</v>
      </c>
      <c r="G180" s="25" t="str">
        <f t="shared" si="0"/>
        <v>('E000X202','RK. X202','RK. Baru Fahutan','150','e'),</v>
      </c>
      <c r="H180" s="24" t="str">
        <f t="shared" si="3"/>
        <v>E000X202</v>
      </c>
      <c r="L180" s="9"/>
    </row>
    <row r="181" spans="1:12" ht="13" x14ac:dyDescent="0.3">
      <c r="A181" s="23">
        <v>180</v>
      </c>
      <c r="B181" s="24" t="s">
        <v>3954</v>
      </c>
      <c r="C181" s="24" t="s">
        <v>3955</v>
      </c>
      <c r="D181" s="24" t="s">
        <v>3953</v>
      </c>
      <c r="E181" s="23">
        <v>0</v>
      </c>
      <c r="F181" s="23" t="s">
        <v>1534</v>
      </c>
      <c r="G181" s="25" t="str">
        <f t="shared" si="0"/>
        <v>('E000X203','RK. X203','RK. Baru Fahutan','0','e'),</v>
      </c>
      <c r="H181" s="24" t="str">
        <f t="shared" si="3"/>
        <v>E000X203</v>
      </c>
      <c r="L181" s="9"/>
    </row>
    <row r="182" spans="1:12" ht="13" x14ac:dyDescent="0.3">
      <c r="A182" s="23">
        <v>181</v>
      </c>
      <c r="B182" s="24" t="s">
        <v>3956</v>
      </c>
      <c r="C182" s="24" t="s">
        <v>3957</v>
      </c>
      <c r="D182" s="24" t="s">
        <v>3958</v>
      </c>
      <c r="E182" s="23">
        <v>60</v>
      </c>
      <c r="F182" s="23" t="s">
        <v>1534</v>
      </c>
      <c r="G182" s="25" t="str">
        <f t="shared" si="0"/>
        <v>('E001ABT1','RK. ABT-1 (Keruing)','Lantai 1, Gedung Fahutan','60','e'),</v>
      </c>
      <c r="H182" s="24" t="str">
        <f t="shared" si="3"/>
        <v>E001ABT1</v>
      </c>
      <c r="L182" s="9"/>
    </row>
    <row r="183" spans="1:12" ht="13" x14ac:dyDescent="0.3">
      <c r="A183" s="23">
        <v>182</v>
      </c>
      <c r="B183" s="24" t="s">
        <v>3959</v>
      </c>
      <c r="C183" s="24" t="s">
        <v>3960</v>
      </c>
      <c r="D183" s="24" t="s">
        <v>3961</v>
      </c>
      <c r="E183" s="23">
        <v>0</v>
      </c>
      <c r="F183" s="23" t="s">
        <v>1534</v>
      </c>
      <c r="G183" s="25" t="str">
        <f t="shared" si="0"/>
        <v>('E001ABT2','RK. ABT-2 (Kapur)','Lantai 1','0','e'),</v>
      </c>
      <c r="H183" s="24" t="str">
        <f t="shared" si="3"/>
        <v>E001ABT2</v>
      </c>
      <c r="L183" s="9"/>
    </row>
    <row r="184" spans="1:12" ht="13" x14ac:dyDescent="0.3">
      <c r="A184" s="23">
        <v>183</v>
      </c>
      <c r="B184" s="24" t="s">
        <v>3962</v>
      </c>
      <c r="C184" s="24" t="s">
        <v>3963</v>
      </c>
      <c r="D184" s="24" t="s">
        <v>3964</v>
      </c>
      <c r="E184" s="23">
        <v>50</v>
      </c>
      <c r="F184" s="23" t="s">
        <v>1534</v>
      </c>
      <c r="G184" s="25" t="str">
        <f t="shared" si="0"/>
        <v>('E001B101','Lab. BK 101 (Pengaruh Hutan )','(Gedung Biologi Kehutanan) Lt.1','50','e'),</v>
      </c>
      <c r="H184" s="24" t="str">
        <f t="shared" si="3"/>
        <v>E001B101</v>
      </c>
      <c r="L184" s="9"/>
    </row>
    <row r="185" spans="1:12" ht="13" x14ac:dyDescent="0.3">
      <c r="A185" s="23">
        <v>184</v>
      </c>
      <c r="B185" s="24" t="s">
        <v>3965</v>
      </c>
      <c r="C185" s="24" t="s">
        <v>3966</v>
      </c>
      <c r="D185" s="24" t="s">
        <v>3964</v>
      </c>
      <c r="E185" s="23">
        <v>50</v>
      </c>
      <c r="F185" s="23" t="s">
        <v>1534</v>
      </c>
      <c r="G185" s="25" t="str">
        <f t="shared" si="0"/>
        <v>('E001B102','Lab. BK 102 (Penyakit Hutan)','(Gedung Biologi Kehutanan) Lt.1','50','e'),</v>
      </c>
      <c r="H185" s="24" t="str">
        <f t="shared" si="3"/>
        <v>E001B102</v>
      </c>
      <c r="L185" s="9"/>
    </row>
    <row r="186" spans="1:12" ht="13" x14ac:dyDescent="0.3">
      <c r="A186" s="23">
        <v>185</v>
      </c>
      <c r="B186" s="24" t="s">
        <v>3967</v>
      </c>
      <c r="C186" s="24" t="s">
        <v>3968</v>
      </c>
      <c r="D186" s="24" t="s">
        <v>3969</v>
      </c>
      <c r="E186" s="23">
        <v>65</v>
      </c>
      <c r="F186" s="23" t="s">
        <v>1534</v>
      </c>
      <c r="G186" s="25" t="str">
        <f t="shared" si="0"/>
        <v>('E001B203','Lab. BK 203 (Ekologi Hutan)','(Gedung Biologi Kehutanan) Lt.2','65','e'),</v>
      </c>
      <c r="H186" s="24" t="str">
        <f t="shared" si="3"/>
        <v>E001B203</v>
      </c>
      <c r="L186" s="9"/>
    </row>
    <row r="187" spans="1:12" ht="13" x14ac:dyDescent="0.3">
      <c r="A187" s="23">
        <v>186</v>
      </c>
      <c r="B187" s="24" t="s">
        <v>2474</v>
      </c>
      <c r="C187" s="24" t="s">
        <v>3970</v>
      </c>
      <c r="D187" s="24" t="s">
        <v>3971</v>
      </c>
      <c r="E187" s="23">
        <v>120</v>
      </c>
      <c r="F187" s="23" t="s">
        <v>1534</v>
      </c>
      <c r="G187" s="25" t="str">
        <f t="shared" si="0"/>
        <v>('E002L201','RK. LG 201 (Gd. Geodesi Lt. 2/1)','Lantai 2 Fahutan','120','e'),</v>
      </c>
      <c r="H187" s="24" t="str">
        <f t="shared" si="3"/>
        <v>E002L201</v>
      </c>
      <c r="L187" s="9"/>
    </row>
    <row r="188" spans="1:12" ht="13" x14ac:dyDescent="0.3">
      <c r="A188" s="23">
        <v>187</v>
      </c>
      <c r="B188" s="24" t="s">
        <v>3972</v>
      </c>
      <c r="C188" s="24" t="s">
        <v>3973</v>
      </c>
      <c r="D188" s="24" t="s">
        <v>3974</v>
      </c>
      <c r="E188" s="23">
        <v>0</v>
      </c>
      <c r="F188" s="23" t="s">
        <v>1534</v>
      </c>
      <c r="G188" s="25" t="str">
        <f t="shared" si="0"/>
        <v>('E002L202','RK. LG 202 (Geodesi Lt. 2/2)','Lantai 2','0','e'),</v>
      </c>
      <c r="H188" s="24" t="str">
        <f t="shared" si="3"/>
        <v>E002L202</v>
      </c>
      <c r="L188" s="9"/>
    </row>
    <row r="189" spans="1:12" ht="13" x14ac:dyDescent="0.3">
      <c r="A189" s="23">
        <v>188</v>
      </c>
      <c r="B189" s="24" t="s">
        <v>2450</v>
      </c>
      <c r="C189" s="24" t="s">
        <v>3975</v>
      </c>
      <c r="D189" s="24" t="s">
        <v>3976</v>
      </c>
      <c r="E189" s="23">
        <v>70</v>
      </c>
      <c r="F189" s="23" t="s">
        <v>1534</v>
      </c>
      <c r="G189" s="25" t="str">
        <f t="shared" si="0"/>
        <v>('E003B301','Lab. BK 301 (Kebakaran Hutan)','(Gedung Biologi Kehutanan) Lt.3','70','e'),</v>
      </c>
      <c r="H189" s="24" t="str">
        <f t="shared" si="3"/>
        <v>E003B301</v>
      </c>
      <c r="L189" s="9"/>
    </row>
    <row r="190" spans="1:12" ht="13" x14ac:dyDescent="0.3">
      <c r="A190" s="23">
        <v>189</v>
      </c>
      <c r="B190" s="24" t="s">
        <v>3977</v>
      </c>
      <c r="C190" s="24" t="s">
        <v>3978</v>
      </c>
      <c r="D190" s="24" t="s">
        <v>3976</v>
      </c>
      <c r="E190" s="23">
        <v>50</v>
      </c>
      <c r="F190" s="23" t="s">
        <v>1534</v>
      </c>
      <c r="G190" s="25" t="str">
        <f t="shared" si="0"/>
        <v>('E003B303','Lab. BK 303 (Hama Hutan)','(Gedung Biologi Kehutanan) Lt.3','50','e'),</v>
      </c>
      <c r="H190" s="24" t="str">
        <f t="shared" si="3"/>
        <v>E003B303</v>
      </c>
      <c r="L190" s="9"/>
    </row>
    <row r="191" spans="1:12" ht="13" x14ac:dyDescent="0.3">
      <c r="A191" s="23">
        <v>190</v>
      </c>
      <c r="B191" s="24" t="s">
        <v>2461</v>
      </c>
      <c r="C191" s="24" t="s">
        <v>3979</v>
      </c>
      <c r="D191" s="24" t="s">
        <v>3980</v>
      </c>
      <c r="E191" s="23">
        <v>100</v>
      </c>
      <c r="F191" s="23" t="s">
        <v>1534</v>
      </c>
      <c r="G191" s="25" t="str">
        <f t="shared" si="0"/>
        <v>('E00GU201','RK. GU 201','Gedung Rk. Dekanat Lt.2 Fahutan','100','e'),</v>
      </c>
      <c r="H191" s="24" t="str">
        <f t="shared" si="3"/>
        <v>E00GU201</v>
      </c>
      <c r="L191" s="9"/>
    </row>
    <row r="192" spans="1:12" ht="13" x14ac:dyDescent="0.3">
      <c r="A192" s="23">
        <v>191</v>
      </c>
      <c r="B192" s="24" t="s">
        <v>2497</v>
      </c>
      <c r="C192" s="24" t="s">
        <v>3981</v>
      </c>
      <c r="D192" s="24" t="s">
        <v>3923</v>
      </c>
      <c r="E192" s="23">
        <v>40</v>
      </c>
      <c r="F192" s="23" t="s">
        <v>1534</v>
      </c>
      <c r="G192" s="25" t="str">
        <f t="shared" si="0"/>
        <v>('E00GU301','Lab. GU 301','Fahutan','40','e'),</v>
      </c>
      <c r="H192" s="24" t="str">
        <f t="shared" si="3"/>
        <v>E00GU301</v>
      </c>
      <c r="L192" s="9"/>
    </row>
    <row r="193" spans="1:12" ht="13" x14ac:dyDescent="0.3">
      <c r="A193" s="23">
        <v>192</v>
      </c>
      <c r="B193" s="24" t="s">
        <v>3982</v>
      </c>
      <c r="C193" s="24" t="s">
        <v>3983</v>
      </c>
      <c r="D193" s="24" t="s">
        <v>3984</v>
      </c>
      <c r="E193" s="23">
        <v>100</v>
      </c>
      <c r="F193" s="23" t="s">
        <v>1534</v>
      </c>
      <c r="G193" s="25" t="str">
        <f t="shared" si="0"/>
        <v>('E01GU301','RK. GU 301','Gedung Rk. Dekanat Lt.3 Fahutan','100','e'),</v>
      </c>
      <c r="H193" s="24" t="str">
        <f t="shared" si="3"/>
        <v>E01GU301</v>
      </c>
      <c r="L193" s="9"/>
    </row>
    <row r="194" spans="1:12" ht="13" x14ac:dyDescent="0.3">
      <c r="A194" s="23">
        <v>193</v>
      </c>
      <c r="B194" s="26" t="s">
        <v>2546</v>
      </c>
      <c r="C194" s="26" t="s">
        <v>741</v>
      </c>
      <c r="D194" s="26" t="s">
        <v>741</v>
      </c>
      <c r="E194" s="62">
        <f>VLOOKUP(C194,Mentah!G:H,2,FALSE)</f>
        <v>20</v>
      </c>
      <c r="F194" s="62" t="s">
        <v>1534</v>
      </c>
      <c r="G194" s="25" t="str">
        <f t="shared" si="0"/>
        <v>('E0001','Lab. Pengaruh (SVK)','Lab. Pengaruh (SVK)','20','e'),</v>
      </c>
      <c r="H194" s="24" t="str">
        <f t="shared" ref="H194:H257" si="4">B194</f>
        <v>E0001</v>
      </c>
      <c r="L194" s="9"/>
    </row>
    <row r="195" spans="1:12" ht="13" x14ac:dyDescent="0.3">
      <c r="A195" s="23">
        <v>194</v>
      </c>
      <c r="B195" s="26" t="s">
        <v>2458</v>
      </c>
      <c r="C195" s="26" t="s">
        <v>727</v>
      </c>
      <c r="D195" s="26" t="s">
        <v>727</v>
      </c>
      <c r="E195" s="62">
        <f>VLOOKUP(C195,Mentah!G:H,2,FALSE)</f>
        <v>20</v>
      </c>
      <c r="F195" s="62" t="s">
        <v>1534</v>
      </c>
      <c r="G195" s="25" t="str">
        <f t="shared" si="0"/>
        <v>('E0002','RS. Eboni (SVK)','RS. Eboni (SVK)','20','e'),</v>
      </c>
      <c r="H195" s="24" t="str">
        <f t="shared" si="4"/>
        <v>E0002</v>
      </c>
      <c r="L195" s="9"/>
    </row>
    <row r="196" spans="1:12" ht="13" x14ac:dyDescent="0.3">
      <c r="A196" s="23">
        <v>195</v>
      </c>
      <c r="B196" s="26" t="s">
        <v>2543</v>
      </c>
      <c r="C196" s="26" t="s">
        <v>740</v>
      </c>
      <c r="D196" s="26" t="s">
        <v>740</v>
      </c>
      <c r="E196" s="62">
        <f>VLOOKUP(C196,Mentah!G:H,2,FALSE)</f>
        <v>20</v>
      </c>
      <c r="F196" s="62" t="s">
        <v>1534</v>
      </c>
      <c r="G196" s="25" t="str">
        <f t="shared" si="0"/>
        <v>('E0003','RS. Gaharu (SVK)','RS. Gaharu (SVK)','20','e'),</v>
      </c>
      <c r="H196" s="24" t="str">
        <f t="shared" si="4"/>
        <v>E0003</v>
      </c>
      <c r="L196" s="9"/>
    </row>
    <row r="197" spans="1:12" ht="13" x14ac:dyDescent="0.3">
      <c r="A197" s="23">
        <v>196</v>
      </c>
      <c r="B197" s="26" t="s">
        <v>2532</v>
      </c>
      <c r="C197" s="26" t="s">
        <v>731</v>
      </c>
      <c r="D197" s="26" t="s">
        <v>731</v>
      </c>
      <c r="E197" s="62">
        <f>VLOOKUP(C197,Mentah!G:H,2,FALSE)</f>
        <v>20</v>
      </c>
      <c r="F197" s="62" t="s">
        <v>1534</v>
      </c>
      <c r="G197" s="25" t="str">
        <f t="shared" si="0"/>
        <v>('E0004','RS. Ulin (SVK)','RS. Ulin (SVK)','20','e'),</v>
      </c>
      <c r="H197" s="24" t="str">
        <f t="shared" si="4"/>
        <v>E0004</v>
      </c>
      <c r="L197" s="9"/>
    </row>
    <row r="198" spans="1:12" ht="13" x14ac:dyDescent="0.3">
      <c r="A198" s="23">
        <v>197</v>
      </c>
      <c r="B198" s="26" t="s">
        <v>2519</v>
      </c>
      <c r="C198" s="26" t="s">
        <v>716</v>
      </c>
      <c r="D198" s="26" t="s">
        <v>716</v>
      </c>
      <c r="E198" s="62">
        <f>VLOOKUP(C198,Mentah!G:H,2,FALSE)</f>
        <v>20</v>
      </c>
      <c r="F198" s="62" t="s">
        <v>1534</v>
      </c>
      <c r="G198" s="25" t="str">
        <f t="shared" si="0"/>
        <v>('E0005','Ruang Kuliah Melati Dept KSHE Gedung Lama (KVT)','Ruang Kuliah Melati Dept KSHE Gedung Lama (KVT)','20','e'),</v>
      </c>
      <c r="H198" s="24" t="str">
        <f t="shared" si="4"/>
        <v>E0005</v>
      </c>
      <c r="L198" s="9"/>
    </row>
    <row r="199" spans="1:12" ht="13" x14ac:dyDescent="0.3">
      <c r="A199" s="23">
        <v>198</v>
      </c>
      <c r="B199" s="26" t="s">
        <v>2522</v>
      </c>
      <c r="C199" s="26" t="s">
        <v>719</v>
      </c>
      <c r="D199" s="26" t="s">
        <v>719</v>
      </c>
      <c r="E199" s="62">
        <f>VLOOKUP(C199,Mentah!G:H,2,FALSE)</f>
        <v>20</v>
      </c>
      <c r="F199" s="62" t="s">
        <v>1534</v>
      </c>
      <c r="G199" s="25" t="str">
        <f t="shared" si="0"/>
        <v>('E0006','Ruang Percil, PS KVT','Ruang Percil, PS KVT','20','e'),</v>
      </c>
      <c r="H199" s="24" t="str">
        <f t="shared" si="4"/>
        <v>E0006</v>
      </c>
      <c r="L199" s="9"/>
    </row>
    <row r="200" spans="1:12" ht="13" x14ac:dyDescent="0.3">
      <c r="A200" s="23">
        <v>199</v>
      </c>
      <c r="B200" s="26" t="s">
        <v>2483</v>
      </c>
      <c r="C200" s="26" t="s">
        <v>698</v>
      </c>
      <c r="D200" s="26" t="s">
        <v>698</v>
      </c>
      <c r="E200" s="62">
        <f>VLOOKUP(C200,Mentah!G:H,2,FALSE)</f>
        <v>20</v>
      </c>
      <c r="F200" s="62" t="s">
        <v>1534</v>
      </c>
      <c r="G200" s="25" t="str">
        <f t="shared" si="0"/>
        <v>('E0007','Ruang Raflesia, Dept KSHE (KVT)','Ruang Raflesia, Dept KSHE (KVT)','20','e'),</v>
      </c>
      <c r="H200" s="24" t="str">
        <f t="shared" si="4"/>
        <v>E0007</v>
      </c>
      <c r="L200" s="9"/>
    </row>
    <row r="201" spans="1:12" ht="13" x14ac:dyDescent="0.3">
      <c r="A201" s="23">
        <v>200</v>
      </c>
      <c r="B201" s="24" t="s">
        <v>3985</v>
      </c>
      <c r="C201" s="24" t="s">
        <v>3986</v>
      </c>
      <c r="D201" s="24" t="s">
        <v>3987</v>
      </c>
      <c r="E201" s="23">
        <v>160</v>
      </c>
      <c r="F201" s="23" t="s">
        <v>1536</v>
      </c>
      <c r="G201" s="25" t="str">
        <f t="shared" si="0"/>
        <v>('F0000PAU','RK. PAU','Lantai 2 Fateta','160','f'),</v>
      </c>
      <c r="H201" s="24" t="str">
        <f t="shared" si="4"/>
        <v>F0000PAU</v>
      </c>
      <c r="L201" s="9"/>
    </row>
    <row r="202" spans="1:12" ht="13" x14ac:dyDescent="0.3">
      <c r="A202" s="23">
        <v>201</v>
      </c>
      <c r="B202" s="24" t="s">
        <v>3988</v>
      </c>
      <c r="C202" s="24" t="s">
        <v>3989</v>
      </c>
      <c r="D202" s="24" t="s">
        <v>3987</v>
      </c>
      <c r="E202" s="23">
        <v>40</v>
      </c>
      <c r="F202" s="23" t="s">
        <v>1536</v>
      </c>
      <c r="G202" s="25" t="str">
        <f t="shared" si="0"/>
        <v>('F0000PAU2','RK. PAU-INT','Lantai 2 Fateta','40','f'),</v>
      </c>
      <c r="H202" s="24" t="str">
        <f t="shared" si="4"/>
        <v>F0000PAU2</v>
      </c>
      <c r="L202" s="9"/>
    </row>
    <row r="203" spans="1:12" ht="13" x14ac:dyDescent="0.3">
      <c r="A203" s="23">
        <v>202</v>
      </c>
      <c r="B203" s="24" t="s">
        <v>3990</v>
      </c>
      <c r="C203" s="24" t="s">
        <v>3991</v>
      </c>
      <c r="D203" s="24" t="s">
        <v>3992</v>
      </c>
      <c r="E203" s="23">
        <v>80</v>
      </c>
      <c r="F203" s="23" t="s">
        <v>1536</v>
      </c>
      <c r="G203" s="25" t="str">
        <f t="shared" si="0"/>
        <v>('F0001PAU','RK. PAU 01. 1a','Lantai 1 Gedung Fateta','80','f'),</v>
      </c>
      <c r="H203" s="24" t="str">
        <f t="shared" si="4"/>
        <v>F0001PAU</v>
      </c>
      <c r="L203" s="9"/>
    </row>
    <row r="204" spans="1:12" ht="13" x14ac:dyDescent="0.3">
      <c r="A204" s="23">
        <v>203</v>
      </c>
      <c r="B204" s="24" t="s">
        <v>2575</v>
      </c>
      <c r="C204" s="24" t="s">
        <v>3993</v>
      </c>
      <c r="D204" s="24" t="s">
        <v>3992</v>
      </c>
      <c r="E204" s="23">
        <v>80</v>
      </c>
      <c r="F204" s="23" t="s">
        <v>1536</v>
      </c>
      <c r="G204" s="25" t="str">
        <f t="shared" si="0"/>
        <v>('F0002PAU','RK. PAU 01. 1b','Lantai 1 Gedung Fateta','80','f'),</v>
      </c>
      <c r="H204" s="24" t="str">
        <f t="shared" si="4"/>
        <v>F0002PAU</v>
      </c>
      <c r="L204" s="9"/>
    </row>
    <row r="205" spans="1:12" ht="13" x14ac:dyDescent="0.3">
      <c r="A205" s="23">
        <v>204</v>
      </c>
      <c r="B205" s="24" t="s">
        <v>2748</v>
      </c>
      <c r="C205" s="24" t="s">
        <v>3994</v>
      </c>
      <c r="D205" s="24" t="s">
        <v>3995</v>
      </c>
      <c r="E205" s="23">
        <v>0</v>
      </c>
      <c r="F205" s="23" t="s">
        <v>1536</v>
      </c>
      <c r="G205" s="25" t="str">
        <f t="shared" si="0"/>
        <v>('F0003PAU','RK. PAU 02.1','Fakultas','0','f'),</v>
      </c>
      <c r="H205" s="24" t="str">
        <f t="shared" si="4"/>
        <v>F0003PAU</v>
      </c>
      <c r="L205" s="9"/>
    </row>
    <row r="206" spans="1:12" ht="13" x14ac:dyDescent="0.3">
      <c r="A206" s="23">
        <v>205</v>
      </c>
      <c r="B206" s="24" t="s">
        <v>2719</v>
      </c>
      <c r="C206" s="24" t="s">
        <v>3996</v>
      </c>
      <c r="D206" s="24" t="s">
        <v>3997</v>
      </c>
      <c r="E206" s="23">
        <v>60</v>
      </c>
      <c r="F206" s="23" t="s">
        <v>1536</v>
      </c>
      <c r="G206" s="25" t="str">
        <f t="shared" si="0"/>
        <v>('F000LAB','Lab. mekanika Tanah','Dept. SIL','60','f'),</v>
      </c>
      <c r="H206" s="24" t="str">
        <f t="shared" si="4"/>
        <v>F000LAB</v>
      </c>
      <c r="L206" s="9"/>
    </row>
    <row r="207" spans="1:12" ht="13" x14ac:dyDescent="0.3">
      <c r="A207" s="23">
        <v>206</v>
      </c>
      <c r="B207" s="24" t="s">
        <v>2567</v>
      </c>
      <c r="C207" s="24" t="s">
        <v>3998</v>
      </c>
      <c r="D207" s="24" t="s">
        <v>3961</v>
      </c>
      <c r="E207" s="23">
        <v>200</v>
      </c>
      <c r="F207" s="23" t="s">
        <v>1536</v>
      </c>
      <c r="G207" s="25" t="str">
        <f t="shared" si="0"/>
        <v>('F0010AMN','AMN','Lantai 1','200','f'),</v>
      </c>
      <c r="H207" s="24" t="str">
        <f t="shared" si="4"/>
        <v>F0010AMN</v>
      </c>
      <c r="L207" s="9"/>
    </row>
    <row r="208" spans="1:12" ht="13" x14ac:dyDescent="0.3">
      <c r="A208" s="23">
        <v>207</v>
      </c>
      <c r="B208" s="24" t="s">
        <v>3999</v>
      </c>
      <c r="C208" s="24" t="s">
        <v>4000</v>
      </c>
      <c r="D208" s="24" t="s">
        <v>4001</v>
      </c>
      <c r="E208" s="23">
        <v>130</v>
      </c>
      <c r="F208" s="23" t="s">
        <v>1536</v>
      </c>
      <c r="G208" s="25" t="str">
        <f t="shared" si="0"/>
        <v>('F0011010','RK. H101','Lantai 1(ex Perpustakaan) Gedung Fateta','130','f'),</v>
      </c>
      <c r="H208" s="24" t="str">
        <f t="shared" si="4"/>
        <v>F0011010</v>
      </c>
      <c r="L208" s="9"/>
    </row>
    <row r="209" spans="1:12" ht="13" x14ac:dyDescent="0.3">
      <c r="A209" s="23">
        <v>208</v>
      </c>
      <c r="B209" s="24" t="s">
        <v>4002</v>
      </c>
      <c r="C209" s="24" t="s">
        <v>4003</v>
      </c>
      <c r="D209" s="24" t="s">
        <v>3992</v>
      </c>
      <c r="E209" s="23">
        <v>90</v>
      </c>
      <c r="F209" s="23" t="s">
        <v>1536</v>
      </c>
      <c r="G209" s="25" t="str">
        <f t="shared" si="0"/>
        <v>('F001102A','RK. H102(a)','Lantai 1 Gedung Fateta','90','f'),</v>
      </c>
      <c r="H209" s="24" t="str">
        <f t="shared" si="4"/>
        <v>F001102A</v>
      </c>
      <c r="L209" s="9"/>
    </row>
    <row r="210" spans="1:12" ht="13" x14ac:dyDescent="0.3">
      <c r="A210" s="23">
        <v>209</v>
      </c>
      <c r="B210" s="24" t="s">
        <v>4004</v>
      </c>
      <c r="C210" s="24" t="s">
        <v>4005</v>
      </c>
      <c r="D210" s="24" t="s">
        <v>3992</v>
      </c>
      <c r="E210" s="23">
        <v>90</v>
      </c>
      <c r="F210" s="23" t="s">
        <v>1536</v>
      </c>
      <c r="G210" s="25" t="str">
        <f t="shared" si="0"/>
        <v>('F001102B','RK. H102(b)','Lantai 1 Gedung Fateta','90','f'),</v>
      </c>
      <c r="H210" s="24" t="str">
        <f t="shared" si="4"/>
        <v>F001102B</v>
      </c>
      <c r="L210" s="9"/>
    </row>
    <row r="211" spans="1:12" ht="13" x14ac:dyDescent="0.3">
      <c r="A211" s="23">
        <v>210</v>
      </c>
      <c r="B211" s="24" t="s">
        <v>4006</v>
      </c>
      <c r="C211" s="24" t="s">
        <v>4007</v>
      </c>
      <c r="D211" s="24" t="s">
        <v>3992</v>
      </c>
      <c r="E211" s="23">
        <v>35</v>
      </c>
      <c r="F211" s="23" t="s">
        <v>1536</v>
      </c>
      <c r="G211" s="25" t="str">
        <f t="shared" si="0"/>
        <v>('F001102C','RK. H102(c)','Lantai 1 Gedung Fateta','35','f'),</v>
      </c>
      <c r="H211" s="24" t="str">
        <f t="shared" si="4"/>
        <v>F001102C</v>
      </c>
      <c r="L211" s="9"/>
    </row>
    <row r="212" spans="1:12" ht="13" x14ac:dyDescent="0.3">
      <c r="A212" s="23">
        <v>211</v>
      </c>
      <c r="B212" s="24" t="s">
        <v>2759</v>
      </c>
      <c r="C212" s="24" t="s">
        <v>4008</v>
      </c>
      <c r="D212" s="24" t="s">
        <v>3992</v>
      </c>
      <c r="E212" s="23">
        <v>90</v>
      </c>
      <c r="F212" s="23" t="s">
        <v>1536</v>
      </c>
      <c r="G212" s="25" t="str">
        <f t="shared" si="0"/>
        <v>('F0011030','RK. H103','Lantai 1 Gedung Fateta','90','f'),</v>
      </c>
      <c r="H212" s="24" t="str">
        <f t="shared" si="4"/>
        <v>F0011030</v>
      </c>
      <c r="L212" s="9"/>
    </row>
    <row r="213" spans="1:12" ht="13" x14ac:dyDescent="0.3">
      <c r="A213" s="23">
        <v>212</v>
      </c>
      <c r="B213" s="24" t="s">
        <v>2580</v>
      </c>
      <c r="C213" s="24" t="s">
        <v>4009</v>
      </c>
      <c r="D213" s="24" t="s">
        <v>3961</v>
      </c>
      <c r="E213" s="23">
        <v>0</v>
      </c>
      <c r="F213" s="23" t="s">
        <v>1536</v>
      </c>
      <c r="G213" s="25" t="str">
        <f t="shared" si="0"/>
        <v>('F0012040','RK. H204','Lantai 1','0','f'),</v>
      </c>
      <c r="H213" s="24" t="str">
        <f t="shared" si="4"/>
        <v>F0012040</v>
      </c>
      <c r="L213" s="9"/>
    </row>
    <row r="214" spans="1:12" ht="13" x14ac:dyDescent="0.3">
      <c r="A214" s="23">
        <v>213</v>
      </c>
      <c r="B214" s="24" t="s">
        <v>2796</v>
      </c>
      <c r="C214" s="24" t="s">
        <v>4010</v>
      </c>
      <c r="D214" s="24" t="s">
        <v>3992</v>
      </c>
      <c r="E214" s="23">
        <v>184</v>
      </c>
      <c r="F214" s="23" t="s">
        <v>1536</v>
      </c>
      <c r="G214" s="25" t="str">
        <f t="shared" si="0"/>
        <v>('F001B102','RK. B102/103','Lantai 1 Gedung Fateta','184','f'),</v>
      </c>
      <c r="H214" s="24" t="str">
        <f t="shared" si="4"/>
        <v>F001B102</v>
      </c>
      <c r="L214" s="9"/>
    </row>
    <row r="215" spans="1:12" ht="13" x14ac:dyDescent="0.3">
      <c r="A215" s="23">
        <v>214</v>
      </c>
      <c r="B215" s="24" t="s">
        <v>2744</v>
      </c>
      <c r="C215" s="24" t="s">
        <v>4011</v>
      </c>
      <c r="D215" s="24" t="s">
        <v>3997</v>
      </c>
      <c r="E215" s="23">
        <v>60</v>
      </c>
      <c r="F215" s="23" t="s">
        <v>1536</v>
      </c>
      <c r="G215" s="25" t="str">
        <f t="shared" si="0"/>
        <v>('F001LAB','Lab. Komputer SIL','Dept. SIL','60','f'),</v>
      </c>
      <c r="H215" s="24" t="str">
        <f t="shared" si="4"/>
        <v>F001LAB</v>
      </c>
      <c r="L215" s="9"/>
    </row>
    <row r="216" spans="1:12" ht="13" x14ac:dyDescent="0.3">
      <c r="A216" s="23">
        <v>215</v>
      </c>
      <c r="B216" s="24" t="s">
        <v>2561</v>
      </c>
      <c r="C216" s="24" t="s">
        <v>4012</v>
      </c>
      <c r="D216" s="24" t="s">
        <v>4013</v>
      </c>
      <c r="E216" s="23">
        <v>2</v>
      </c>
      <c r="F216" s="23" t="s">
        <v>1536</v>
      </c>
      <c r="G216" s="25" t="str">
        <f t="shared" si="0"/>
        <v>('F-B2041','R.Ketua dan Sekretaris Departemen','Gedung FATETA Wing F, Lantai 2','2','f'),</v>
      </c>
      <c r="H216" s="24" t="str">
        <f t="shared" si="4"/>
        <v>F-B2041</v>
      </c>
      <c r="L216" s="9"/>
    </row>
    <row r="217" spans="1:12" ht="13" x14ac:dyDescent="0.3">
      <c r="A217" s="23">
        <v>216</v>
      </c>
      <c r="B217" s="24" t="s">
        <v>2197</v>
      </c>
      <c r="C217" s="24" t="s">
        <v>510</v>
      </c>
      <c r="D217" s="24" t="s">
        <v>4013</v>
      </c>
      <c r="E217" s="23">
        <v>4</v>
      </c>
      <c r="F217" s="23" t="s">
        <v>1536</v>
      </c>
      <c r="G217" s="25" t="str">
        <f t="shared" si="0"/>
        <v>('F-B2042','Ruang Diskusi','Gedung FATETA Wing F, Lantai 2','4','f'),</v>
      </c>
      <c r="H217" s="24" t="str">
        <f t="shared" si="4"/>
        <v>F-B2042</v>
      </c>
      <c r="L217" s="9"/>
    </row>
    <row r="218" spans="1:12" ht="13" x14ac:dyDescent="0.3">
      <c r="A218" s="23">
        <v>217</v>
      </c>
      <c r="B218" s="24" t="s">
        <v>4014</v>
      </c>
      <c r="C218" s="24" t="s">
        <v>4015</v>
      </c>
      <c r="D218" s="24" t="s">
        <v>4013</v>
      </c>
      <c r="E218" s="23">
        <v>4</v>
      </c>
      <c r="F218" s="23" t="s">
        <v>1536</v>
      </c>
      <c r="G218" s="25" t="str">
        <f t="shared" si="0"/>
        <v>('F-B2043','Ruang Tamu','Gedung FATETA Wing F, Lantai 2','4','f'),</v>
      </c>
      <c r="H218" s="24" t="str">
        <f t="shared" si="4"/>
        <v>F-B2043</v>
      </c>
      <c r="L218" s="9"/>
    </row>
    <row r="219" spans="1:12" ht="13" x14ac:dyDescent="0.3">
      <c r="A219" s="23">
        <v>218</v>
      </c>
      <c r="B219" s="24" t="s">
        <v>2728</v>
      </c>
      <c r="C219" s="24" t="s">
        <v>4016</v>
      </c>
      <c r="D219" s="24" t="s">
        <v>4013</v>
      </c>
      <c r="E219" s="23">
        <v>4</v>
      </c>
      <c r="F219" s="23" t="s">
        <v>1536</v>
      </c>
      <c r="G219" s="25" t="str">
        <f t="shared" si="0"/>
        <v>('F-B2044','Ruang Sekretariat Departemen','Gedung FATETA Wing F, Lantai 2','4','f'),</v>
      </c>
      <c r="H219" s="24" t="str">
        <f t="shared" si="4"/>
        <v>F-B2044</v>
      </c>
      <c r="L219" s="9"/>
    </row>
    <row r="220" spans="1:12" ht="13" x14ac:dyDescent="0.3">
      <c r="A220" s="23">
        <v>219</v>
      </c>
      <c r="B220" s="24" t="s">
        <v>4017</v>
      </c>
      <c r="C220" s="24" t="s">
        <v>4018</v>
      </c>
      <c r="D220" s="24" t="s">
        <v>4013</v>
      </c>
      <c r="E220" s="23">
        <v>20</v>
      </c>
      <c r="F220" s="23" t="s">
        <v>1536</v>
      </c>
      <c r="G220" s="25" t="str">
        <f t="shared" si="0"/>
        <v>('F-B2051','Ruang Sidang Departemen TIN','Gedung FATETA Wing F, Lantai 2','20','f'),</v>
      </c>
      <c r="H220" s="24" t="str">
        <f t="shared" si="4"/>
        <v>F-B2051</v>
      </c>
      <c r="L220" s="9"/>
    </row>
    <row r="221" spans="1:12" ht="13" x14ac:dyDescent="0.3">
      <c r="A221" s="23">
        <v>220</v>
      </c>
      <c r="B221" s="24" t="s">
        <v>4019</v>
      </c>
      <c r="C221" s="24" t="s">
        <v>4020</v>
      </c>
      <c r="D221" s="24" t="s">
        <v>4013</v>
      </c>
      <c r="E221" s="23">
        <v>1</v>
      </c>
      <c r="F221" s="23" t="s">
        <v>1536</v>
      </c>
      <c r="G221" s="25" t="str">
        <f t="shared" si="0"/>
        <v>('F-B2052','Ruang Perlengkapan','Gedung FATETA Wing F, Lantai 2','1','f'),</v>
      </c>
      <c r="H221" s="24" t="str">
        <f t="shared" si="4"/>
        <v>F-B2052</v>
      </c>
      <c r="L221" s="9"/>
    </row>
    <row r="222" spans="1:12" ht="13" x14ac:dyDescent="0.3">
      <c r="A222" s="23">
        <v>221</v>
      </c>
      <c r="B222" s="24" t="s">
        <v>4021</v>
      </c>
      <c r="C222" s="24" t="s">
        <v>4022</v>
      </c>
      <c r="D222" s="24" t="s">
        <v>4023</v>
      </c>
      <c r="E222" s="23">
        <v>0</v>
      </c>
      <c r="F222" s="23" t="s">
        <v>1536</v>
      </c>
      <c r="G222" s="25" t="str">
        <f t="shared" si="0"/>
        <v>('F-D201','Ruang UPT Akademik','Gedung FATETA Wing D Lantai 2','0','f'),</v>
      </c>
      <c r="H222" s="24" t="str">
        <f t="shared" si="4"/>
        <v>F-D201</v>
      </c>
      <c r="L222" s="9"/>
    </row>
    <row r="223" spans="1:12" ht="13" x14ac:dyDescent="0.3">
      <c r="A223" s="23">
        <v>222</v>
      </c>
      <c r="B223" s="24" t="s">
        <v>2804</v>
      </c>
      <c r="C223" s="24" t="s">
        <v>4024</v>
      </c>
      <c r="D223" s="24" t="s">
        <v>4025</v>
      </c>
      <c r="E223" s="23">
        <v>30</v>
      </c>
      <c r="F223" s="23" t="s">
        <v>1536</v>
      </c>
      <c r="G223" s="25" t="str">
        <f t="shared" si="0"/>
        <v>('FD310L01','Lab. L-1','Wing D3','30','f'),</v>
      </c>
      <c r="H223" s="24" t="str">
        <f t="shared" si="4"/>
        <v>FD310L01</v>
      </c>
      <c r="L223" s="9"/>
    </row>
    <row r="224" spans="1:12" ht="13" x14ac:dyDescent="0.3">
      <c r="A224" s="23">
        <v>223</v>
      </c>
      <c r="B224" s="24" t="s">
        <v>2583</v>
      </c>
      <c r="C224" s="24" t="s">
        <v>4026</v>
      </c>
      <c r="D224" s="24" t="s">
        <v>4025</v>
      </c>
      <c r="E224" s="23">
        <v>30</v>
      </c>
      <c r="F224" s="23" t="s">
        <v>1536</v>
      </c>
      <c r="G224" s="25" t="str">
        <f t="shared" si="0"/>
        <v>('FD310L02','Lab. L-2','Wing D3','30','f'),</v>
      </c>
      <c r="H224" s="24" t="str">
        <f t="shared" si="4"/>
        <v>FD310L02</v>
      </c>
      <c r="L224" s="9"/>
    </row>
    <row r="225" spans="1:12" ht="13" x14ac:dyDescent="0.3">
      <c r="A225" s="23">
        <v>224</v>
      </c>
      <c r="B225" s="24" t="s">
        <v>4027</v>
      </c>
      <c r="C225" s="24" t="s">
        <v>4028</v>
      </c>
      <c r="D225" s="24" t="s">
        <v>4029</v>
      </c>
      <c r="E225" s="23">
        <v>25</v>
      </c>
      <c r="F225" s="23" t="s">
        <v>1536</v>
      </c>
      <c r="G225" s="25" t="str">
        <f t="shared" si="0"/>
        <v>('FD410L03','Lab. L-3','Wing D4','25','f'),</v>
      </c>
      <c r="H225" s="24" t="str">
        <f t="shared" si="4"/>
        <v>FD410L03</v>
      </c>
      <c r="L225" s="9"/>
    </row>
    <row r="226" spans="1:12" ht="13" x14ac:dyDescent="0.3">
      <c r="A226" s="23">
        <v>225</v>
      </c>
      <c r="B226" s="24" t="s">
        <v>2592</v>
      </c>
      <c r="C226" s="24" t="s">
        <v>4030</v>
      </c>
      <c r="D226" s="24" t="s">
        <v>4031</v>
      </c>
      <c r="E226" s="23">
        <v>30</v>
      </c>
      <c r="F226" s="23" t="s">
        <v>1536</v>
      </c>
      <c r="G226" s="25" t="str">
        <f t="shared" si="0"/>
        <v>('F-E302','Ruang Lab. Teknik Manajemen Lingkungan Industri','Gedung FATETA Wing E, Lantai 3','30','f'),</v>
      </c>
      <c r="H226" s="24" t="str">
        <f t="shared" si="4"/>
        <v>F-E302</v>
      </c>
      <c r="L226" s="9"/>
    </row>
    <row r="227" spans="1:12" ht="13" x14ac:dyDescent="0.3">
      <c r="A227" s="23">
        <v>226</v>
      </c>
      <c r="B227" s="24" t="s">
        <v>2723</v>
      </c>
      <c r="C227" s="24" t="s">
        <v>4032</v>
      </c>
      <c r="D227" s="24" t="s">
        <v>4031</v>
      </c>
      <c r="E227" s="23">
        <v>30</v>
      </c>
      <c r="F227" s="23" t="s">
        <v>1536</v>
      </c>
      <c r="G227" s="25" t="str">
        <f t="shared" si="0"/>
        <v>('F-E304','Ruang Lab.DIT-1','Gedung FATETA Wing E, Lantai 3','30','f'),</v>
      </c>
      <c r="H227" s="24" t="str">
        <f t="shared" si="4"/>
        <v>F-E304</v>
      </c>
      <c r="L227" s="9"/>
    </row>
    <row r="228" spans="1:12" ht="13" x14ac:dyDescent="0.3">
      <c r="A228" s="23">
        <v>227</v>
      </c>
      <c r="B228" s="24" t="s">
        <v>2631</v>
      </c>
      <c r="C228" s="24" t="s">
        <v>4033</v>
      </c>
      <c r="D228" s="24" t="s">
        <v>4031</v>
      </c>
      <c r="E228" s="23">
        <v>30</v>
      </c>
      <c r="F228" s="23" t="s">
        <v>1536</v>
      </c>
      <c r="G228" s="25" t="str">
        <f t="shared" si="0"/>
        <v>('F-E305','Ruang Lab.DIT-2','Gedung FATETA Wing E, Lantai 3','30','f'),</v>
      </c>
      <c r="H228" s="24" t="str">
        <f t="shared" si="4"/>
        <v>F-E305</v>
      </c>
      <c r="L228" s="9"/>
    </row>
    <row r="229" spans="1:12" ht="13" x14ac:dyDescent="0.3">
      <c r="A229" s="23">
        <v>228</v>
      </c>
      <c r="B229" s="24" t="s">
        <v>4034</v>
      </c>
      <c r="C229" s="24" t="s">
        <v>4035</v>
      </c>
      <c r="D229" s="24" t="s">
        <v>4036</v>
      </c>
      <c r="E229" s="23">
        <v>0</v>
      </c>
      <c r="F229" s="23" t="s">
        <v>1536</v>
      </c>
      <c r="G229" s="25" t="str">
        <f t="shared" si="0"/>
        <v>('FE41TIMB','Lab. R.Timbang','Wing E4','0','f'),</v>
      </c>
      <c r="H229" s="24" t="str">
        <f t="shared" si="4"/>
        <v>FE41TIMB</v>
      </c>
      <c r="L229" s="9"/>
    </row>
    <row r="230" spans="1:12" ht="13" x14ac:dyDescent="0.3">
      <c r="A230" s="23">
        <v>229</v>
      </c>
      <c r="B230" s="24" t="s">
        <v>2689</v>
      </c>
      <c r="C230" s="24" t="s">
        <v>4012</v>
      </c>
      <c r="D230" s="24" t="s">
        <v>4013</v>
      </c>
      <c r="E230" s="23">
        <v>2</v>
      </c>
      <c r="F230" s="23" t="s">
        <v>1536</v>
      </c>
      <c r="G230" s="25" t="str">
        <f t="shared" si="0"/>
        <v>('F-F204','R.Ketua dan Sekretaris Departemen','Gedung FATETA Wing F, Lantai 2','2','f'),</v>
      </c>
      <c r="H230" s="24" t="str">
        <f t="shared" si="4"/>
        <v>F-F204</v>
      </c>
      <c r="L230" s="9"/>
    </row>
    <row r="231" spans="1:12" ht="13" x14ac:dyDescent="0.3">
      <c r="A231" s="23">
        <v>230</v>
      </c>
      <c r="B231" s="24" t="s">
        <v>2726</v>
      </c>
      <c r="C231" s="24" t="s">
        <v>4037</v>
      </c>
      <c r="D231" s="24" t="s">
        <v>4038</v>
      </c>
      <c r="E231" s="23">
        <v>30</v>
      </c>
      <c r="F231" s="23" t="s">
        <v>1536</v>
      </c>
      <c r="G231" s="25" t="str">
        <f t="shared" si="0"/>
        <v>('F-G302','Ruang Lab. Pengemasan','Gedung FATETA Wing G, Lantai 3','30','f'),</v>
      </c>
      <c r="H231" s="24" t="str">
        <f t="shared" si="4"/>
        <v>F-G302</v>
      </c>
      <c r="L231" s="9"/>
    </row>
    <row r="232" spans="1:12" ht="13" x14ac:dyDescent="0.3">
      <c r="A232" s="23">
        <v>231</v>
      </c>
      <c r="B232" s="24" t="s">
        <v>4039</v>
      </c>
      <c r="C232" s="24" t="s">
        <v>4040</v>
      </c>
      <c r="D232" s="24" t="s">
        <v>4038</v>
      </c>
      <c r="E232" s="23">
        <v>30</v>
      </c>
      <c r="F232" s="23" t="s">
        <v>1536</v>
      </c>
      <c r="G232" s="25" t="str">
        <f t="shared" si="0"/>
        <v>('F-G303','Ruang Lab. Teknologi Proses','Gedung FATETA Wing G, Lantai 3','30','f'),</v>
      </c>
      <c r="H232" s="24" t="str">
        <f t="shared" si="4"/>
        <v>F-G303</v>
      </c>
      <c r="L232" s="9"/>
    </row>
    <row r="233" spans="1:12" ht="13" x14ac:dyDescent="0.3">
      <c r="A233" s="23">
        <v>232</v>
      </c>
      <c r="B233" s="24" t="s">
        <v>2558</v>
      </c>
      <c r="C233" s="24" t="s">
        <v>4041</v>
      </c>
      <c r="D233" s="24" t="s">
        <v>4038</v>
      </c>
      <c r="E233" s="23">
        <v>30</v>
      </c>
      <c r="F233" s="23" t="s">
        <v>1536</v>
      </c>
      <c r="G233" s="25" t="str">
        <f t="shared" si="0"/>
        <v>('F-G305','Ruang Lab. Bioindustri','Gedung FATETA Wing G, Lantai 3','30','f'),</v>
      </c>
      <c r="H233" s="24" t="str">
        <f t="shared" si="4"/>
        <v>F-G305</v>
      </c>
      <c r="L233" s="9"/>
    </row>
    <row r="234" spans="1:12" ht="13" x14ac:dyDescent="0.3">
      <c r="A234" s="23">
        <v>233</v>
      </c>
      <c r="B234" s="24" t="s">
        <v>4042</v>
      </c>
      <c r="C234" s="24" t="s">
        <v>4043</v>
      </c>
      <c r="D234" s="24" t="s">
        <v>4038</v>
      </c>
      <c r="E234" s="23">
        <v>0</v>
      </c>
      <c r="F234" s="23" t="s">
        <v>1536</v>
      </c>
      <c r="G234" s="25" t="str">
        <f t="shared" si="0"/>
        <v>('F-G306','Ruang Lab. Instrument 2','Gedung FATETA Wing G, Lantai 3','0','f'),</v>
      </c>
      <c r="H234" s="24" t="str">
        <f t="shared" si="4"/>
        <v>F-G306</v>
      </c>
      <c r="L234" s="9"/>
    </row>
    <row r="235" spans="1:12" ht="13" x14ac:dyDescent="0.3">
      <c r="A235" s="23">
        <v>234</v>
      </c>
      <c r="B235" s="24" t="s">
        <v>2753</v>
      </c>
      <c r="C235" s="24" t="s">
        <v>4044</v>
      </c>
      <c r="D235" s="24" t="s">
        <v>4045</v>
      </c>
      <c r="E235" s="23">
        <v>30</v>
      </c>
      <c r="F235" s="23" t="s">
        <v>1536</v>
      </c>
      <c r="G235" s="25" t="str">
        <f t="shared" si="0"/>
        <v>('F-G401','R. Lab. Bisnis dan Aplikasi Industri','Gedung FATETA Wing G, Lantai 4','30','f'),</v>
      </c>
      <c r="H235" s="24" t="str">
        <f t="shared" si="4"/>
        <v>F-G401</v>
      </c>
      <c r="L235" s="9"/>
    </row>
    <row r="236" spans="1:12" ht="13" x14ac:dyDescent="0.3">
      <c r="A236" s="23">
        <v>235</v>
      </c>
      <c r="B236" s="24" t="s">
        <v>2692</v>
      </c>
      <c r="C236" s="24" t="s">
        <v>4046</v>
      </c>
      <c r="D236" s="24" t="s">
        <v>4045</v>
      </c>
      <c r="E236" s="23">
        <v>2</v>
      </c>
      <c r="F236" s="23" t="s">
        <v>1536</v>
      </c>
      <c r="G236" s="25" t="str">
        <f t="shared" si="0"/>
        <v>('F-G403','R. Dosen (Prof. Ono Suparno dan Dr. Prayoga Suryadarma)','Gedung FATETA Wing G, Lantai 4','2','f'),</v>
      </c>
      <c r="H236" s="24" t="str">
        <f t="shared" si="4"/>
        <v>F-G403</v>
      </c>
      <c r="L236" s="9"/>
    </row>
    <row r="237" spans="1:12" ht="13" x14ac:dyDescent="0.3">
      <c r="A237" s="23">
        <v>236</v>
      </c>
      <c r="B237" s="24" t="s">
        <v>2600</v>
      </c>
      <c r="C237" s="24" t="s">
        <v>4047</v>
      </c>
      <c r="D237" s="24" t="s">
        <v>4045</v>
      </c>
      <c r="E237" s="23">
        <v>2</v>
      </c>
      <c r="F237" s="23" t="s">
        <v>1536</v>
      </c>
      <c r="G237" s="25" t="str">
        <f t="shared" si="0"/>
        <v>('F-G404','R. Dosen (Prof. Suprihatin)','Gedung FATETA Wing G, Lantai 4','2','f'),</v>
      </c>
      <c r="H237" s="24" t="str">
        <f t="shared" si="4"/>
        <v>F-G404</v>
      </c>
      <c r="L237" s="9"/>
    </row>
    <row r="238" spans="1:12" ht="13" x14ac:dyDescent="0.3">
      <c r="A238" s="23">
        <v>237</v>
      </c>
      <c r="B238" s="24" t="s">
        <v>2801</v>
      </c>
      <c r="C238" s="24" t="s">
        <v>4048</v>
      </c>
      <c r="D238" s="24" t="s">
        <v>4045</v>
      </c>
      <c r="E238" s="23">
        <v>2</v>
      </c>
      <c r="F238" s="23" t="s">
        <v>1536</v>
      </c>
      <c r="G238" s="25" t="str">
        <f t="shared" si="0"/>
        <v>('F-G405','R. Dosen (Prof. Ani Suryani dan Dr. Titi Candra Sunarti)','Gedung FATETA Wing G, Lantai 4','2','f'),</v>
      </c>
      <c r="H238" s="24" t="str">
        <f t="shared" si="4"/>
        <v>F-G405</v>
      </c>
      <c r="L238" s="9"/>
    </row>
    <row r="239" spans="1:12" ht="13" x14ac:dyDescent="0.3">
      <c r="A239" s="23">
        <v>238</v>
      </c>
      <c r="B239" s="24" t="s">
        <v>4049</v>
      </c>
      <c r="C239" s="24" t="s">
        <v>4050</v>
      </c>
      <c r="D239" s="24" t="s">
        <v>4045</v>
      </c>
      <c r="E239" s="23">
        <v>3</v>
      </c>
      <c r="F239" s="23" t="s">
        <v>1536</v>
      </c>
      <c r="G239" s="25" t="str">
        <f t="shared" si="0"/>
        <v>('F-G407','R. Dosen (Dr. Indah Yuliasih, Dr. Purwoko dan Dr. Muslich)','Gedung FATETA Wing G, Lantai 4','3','f'),</v>
      </c>
      <c r="H239" s="24" t="str">
        <f t="shared" si="4"/>
        <v>F-G407</v>
      </c>
      <c r="L239" s="9"/>
    </row>
    <row r="240" spans="1:12" ht="13" x14ac:dyDescent="0.3">
      <c r="A240" s="23">
        <v>239</v>
      </c>
      <c r="B240" s="24" t="s">
        <v>4051</v>
      </c>
      <c r="C240" s="24" t="s">
        <v>4052</v>
      </c>
      <c r="D240" s="24" t="s">
        <v>4045</v>
      </c>
      <c r="E240" s="23">
        <v>1</v>
      </c>
      <c r="F240" s="23" t="s">
        <v>1536</v>
      </c>
      <c r="G240" s="25" t="str">
        <f t="shared" si="0"/>
        <v>('F-G409','R. Dosen (Dr. Sapta Raharja)','Gedung FATETA Wing G, Lantai 4','1','f'),</v>
      </c>
      <c r="H240" s="24" t="str">
        <f t="shared" si="4"/>
        <v>F-G409</v>
      </c>
      <c r="L240" s="9"/>
    </row>
    <row r="241" spans="1:12" ht="13" x14ac:dyDescent="0.3">
      <c r="A241" s="23">
        <v>240</v>
      </c>
      <c r="B241" s="24" t="s">
        <v>2773</v>
      </c>
      <c r="C241" s="24" t="s">
        <v>4053</v>
      </c>
      <c r="D241" s="24" t="s">
        <v>4045</v>
      </c>
      <c r="E241" s="23">
        <v>2</v>
      </c>
      <c r="F241" s="23" t="s">
        <v>1536</v>
      </c>
      <c r="G241" s="25" t="str">
        <f t="shared" si="0"/>
        <v>('F-G410','R. Dosen (Prof. Sukardi dan Prof. M. Romli)','Gedung FATETA Wing G, Lantai 4','2','f'),</v>
      </c>
      <c r="H241" s="24" t="str">
        <f t="shared" si="4"/>
        <v>F-G410</v>
      </c>
      <c r="L241" s="9"/>
    </row>
    <row r="242" spans="1:12" ht="13" x14ac:dyDescent="0.3">
      <c r="A242" s="23">
        <v>241</v>
      </c>
      <c r="B242" s="24" t="s">
        <v>4054</v>
      </c>
      <c r="C242" s="24" t="s">
        <v>4055</v>
      </c>
      <c r="D242" s="24" t="s">
        <v>4045</v>
      </c>
      <c r="E242" s="23">
        <v>2</v>
      </c>
      <c r="F242" s="23" t="s">
        <v>1536</v>
      </c>
      <c r="G242" s="25" t="str">
        <f t="shared" si="0"/>
        <v>('F-G411','R. Dosen (Dr. Sugiarto dan Dr. Ade Iskandar)','Gedung FATETA Wing G, Lantai 4','2','f'),</v>
      </c>
      <c r="H242" s="24" t="str">
        <f t="shared" si="4"/>
        <v>F-G411</v>
      </c>
      <c r="L242" s="9"/>
    </row>
    <row r="243" spans="1:12" ht="13" x14ac:dyDescent="0.3">
      <c r="A243" s="23">
        <v>242</v>
      </c>
      <c r="B243" s="24" t="s">
        <v>2751</v>
      </c>
      <c r="C243" s="24" t="s">
        <v>4056</v>
      </c>
      <c r="D243" s="24" t="s">
        <v>4045</v>
      </c>
      <c r="E243" s="23">
        <v>1</v>
      </c>
      <c r="F243" s="23" t="s">
        <v>1536</v>
      </c>
      <c r="G243" s="25" t="str">
        <f t="shared" si="0"/>
        <v>('F-G412','R. Dosen (Prof. Djumali)','Gedung FATETA Wing G, Lantai 4','1','f'),</v>
      </c>
      <c r="H243" s="24" t="str">
        <f t="shared" si="4"/>
        <v>F-G412</v>
      </c>
      <c r="L243" s="9"/>
    </row>
    <row r="244" spans="1:12" ht="13" x14ac:dyDescent="0.3">
      <c r="A244" s="23">
        <v>243</v>
      </c>
      <c r="B244" s="24" t="s">
        <v>4057</v>
      </c>
      <c r="C244" s="24" t="s">
        <v>4058</v>
      </c>
      <c r="D244" s="24" t="s">
        <v>4045</v>
      </c>
      <c r="E244" s="23">
        <v>1</v>
      </c>
      <c r="F244" s="23" t="s">
        <v>1536</v>
      </c>
      <c r="G244" s="25" t="str">
        <f t="shared" si="0"/>
        <v>('F-G413','R. Dosen (Dr. Endang Warsiki)','Gedung FATETA Wing G, Lantai 4','1','f'),</v>
      </c>
      <c r="H244" s="24" t="str">
        <f t="shared" si="4"/>
        <v>F-G413</v>
      </c>
      <c r="L244" s="9"/>
    </row>
    <row r="245" spans="1:12" ht="13" x14ac:dyDescent="0.3">
      <c r="A245" s="23">
        <v>244</v>
      </c>
      <c r="B245" s="24" t="s">
        <v>2757</v>
      </c>
      <c r="C245" s="24" t="s">
        <v>4059</v>
      </c>
      <c r="D245" s="24" t="s">
        <v>4045</v>
      </c>
      <c r="E245" s="23">
        <v>2</v>
      </c>
      <c r="F245" s="23" t="s">
        <v>1536</v>
      </c>
      <c r="G245" s="25" t="str">
        <f t="shared" si="0"/>
        <v>('F-G414','R. Dosen (Dr. Mulyorini dan Dr. Liesbetini)','Gedung FATETA Wing G, Lantai 4','2','f'),</v>
      </c>
      <c r="H245" s="24" t="str">
        <f t="shared" si="4"/>
        <v>F-G414</v>
      </c>
      <c r="L245" s="9"/>
    </row>
    <row r="246" spans="1:12" ht="13" x14ac:dyDescent="0.3">
      <c r="A246" s="23">
        <v>245</v>
      </c>
      <c r="B246" s="24" t="s">
        <v>2791</v>
      </c>
      <c r="C246" s="24" t="s">
        <v>4060</v>
      </c>
      <c r="D246" s="24" t="s">
        <v>4045</v>
      </c>
      <c r="E246" s="23">
        <v>1</v>
      </c>
      <c r="F246" s="23" t="s">
        <v>1536</v>
      </c>
      <c r="G246" s="25" t="str">
        <f t="shared" si="0"/>
        <v>('F-G415','R. Dosen (Dr. Andes Ismayana)','Gedung FATETA Wing G, Lantai 4','1','f'),</v>
      </c>
      <c r="H246" s="24" t="str">
        <f t="shared" si="4"/>
        <v>F-G415</v>
      </c>
      <c r="L246" s="9"/>
    </row>
    <row r="247" spans="1:12" ht="13" x14ac:dyDescent="0.3">
      <c r="A247" s="23">
        <v>246</v>
      </c>
      <c r="B247" s="24" t="s">
        <v>2794</v>
      </c>
      <c r="C247" s="24" t="s">
        <v>4061</v>
      </c>
      <c r="D247" s="24" t="s">
        <v>4045</v>
      </c>
      <c r="E247" s="23">
        <v>1</v>
      </c>
      <c r="F247" s="23" t="s">
        <v>1536</v>
      </c>
      <c r="G247" s="25" t="str">
        <f t="shared" si="0"/>
        <v>('F-G416','R. Dosen (Dr. M. Yani)','Gedung FATETA Wing G, Lantai 4','1','f'),</v>
      </c>
      <c r="H247" s="24" t="str">
        <f t="shared" si="4"/>
        <v>F-G416</v>
      </c>
      <c r="L247" s="9"/>
    </row>
    <row r="248" spans="1:12" ht="13" x14ac:dyDescent="0.3">
      <c r="A248" s="23">
        <v>247</v>
      </c>
      <c r="B248" s="24" t="s">
        <v>2706</v>
      </c>
      <c r="C248" s="24" t="s">
        <v>4062</v>
      </c>
      <c r="D248" s="24" t="s">
        <v>4045</v>
      </c>
      <c r="E248" s="23">
        <v>2</v>
      </c>
      <c r="F248" s="23" t="s">
        <v>1536</v>
      </c>
      <c r="G248" s="25" t="str">
        <f t="shared" si="0"/>
        <v>('F-G417','R. Dosen (Dr. Taufik Djatna dan Dr. Ika Amalia Kartika)','Gedung FATETA Wing G, Lantai 4','2','f'),</v>
      </c>
      <c r="H248" s="24" t="str">
        <f t="shared" si="4"/>
        <v>F-G417</v>
      </c>
      <c r="L248" s="9"/>
    </row>
    <row r="249" spans="1:12" ht="13" x14ac:dyDescent="0.3">
      <c r="A249" s="23">
        <v>248</v>
      </c>
      <c r="B249" s="24" t="s">
        <v>4063</v>
      </c>
      <c r="C249" s="24" t="s">
        <v>4064</v>
      </c>
      <c r="D249" s="24" t="s">
        <v>4045</v>
      </c>
      <c r="E249" s="23">
        <v>1</v>
      </c>
      <c r="F249" s="23" t="s">
        <v>1536</v>
      </c>
      <c r="G249" s="25" t="str">
        <f t="shared" si="0"/>
        <v>('F-G418','R. Dosen (Prof. Anas M. Fauzi)','Gedung FATETA Wing G, Lantai 4','1','f'),</v>
      </c>
      <c r="H249" s="24" t="str">
        <f t="shared" si="4"/>
        <v>F-G418</v>
      </c>
      <c r="L249" s="9"/>
    </row>
    <row r="250" spans="1:12" ht="13" x14ac:dyDescent="0.3">
      <c r="A250" s="23">
        <v>249</v>
      </c>
      <c r="B250" s="24" t="s">
        <v>4065</v>
      </c>
      <c r="C250" s="24" t="s">
        <v>4066</v>
      </c>
      <c r="D250" s="24" t="s">
        <v>4067</v>
      </c>
      <c r="E250" s="23">
        <v>0</v>
      </c>
      <c r="F250" s="23" t="s">
        <v>1536</v>
      </c>
      <c r="G250" s="25" t="str">
        <f t="shared" si="0"/>
        <v>('F-H202','Ruang Sekretariat Pascasarjana TIP','Gedung FATETA Wing H, Lantai 2','0','f'),</v>
      </c>
      <c r="H250" s="24" t="str">
        <f t="shared" si="4"/>
        <v>F-H202</v>
      </c>
      <c r="L250" s="9"/>
    </row>
    <row r="251" spans="1:12" ht="13" x14ac:dyDescent="0.3">
      <c r="A251" s="23">
        <v>250</v>
      </c>
      <c r="B251" s="24" t="s">
        <v>4068</v>
      </c>
      <c r="C251" s="24" t="s">
        <v>4069</v>
      </c>
      <c r="D251" s="24" t="s">
        <v>4067</v>
      </c>
      <c r="E251" s="23">
        <v>0</v>
      </c>
      <c r="F251" s="23" t="s">
        <v>1536</v>
      </c>
      <c r="G251" s="25" t="str">
        <f t="shared" si="0"/>
        <v>('F-H203','Ruang CDSAP','Gedung FATETA Wing H, Lantai 2','0','f'),</v>
      </c>
      <c r="H251" s="24" t="str">
        <f t="shared" si="4"/>
        <v>F-H203</v>
      </c>
      <c r="L251" s="9"/>
    </row>
    <row r="252" spans="1:12" ht="13" x14ac:dyDescent="0.3">
      <c r="A252" s="23">
        <v>251</v>
      </c>
      <c r="B252" s="24" t="s">
        <v>4070</v>
      </c>
      <c r="C252" s="24" t="s">
        <v>4071</v>
      </c>
      <c r="D252" s="24" t="s">
        <v>4067</v>
      </c>
      <c r="E252" s="23">
        <v>0</v>
      </c>
      <c r="F252" s="23" t="s">
        <v>1536</v>
      </c>
      <c r="G252" s="25" t="str">
        <f t="shared" si="0"/>
        <v>('F-H204','Ruang UPT Kepegawaian','Gedung FATETA Wing H, Lantai 2','0','f'),</v>
      </c>
      <c r="H252" s="24" t="str">
        <f t="shared" si="4"/>
        <v>F-H204</v>
      </c>
      <c r="L252" s="9"/>
    </row>
    <row r="253" spans="1:12" ht="13" x14ac:dyDescent="0.3">
      <c r="A253" s="23">
        <v>252</v>
      </c>
      <c r="B253" s="24" t="s">
        <v>4072</v>
      </c>
      <c r="C253" s="24" t="s">
        <v>4073</v>
      </c>
      <c r="D253" s="24" t="s">
        <v>4074</v>
      </c>
      <c r="E253" s="23">
        <v>30</v>
      </c>
      <c r="F253" s="23" t="s">
        <v>1536</v>
      </c>
      <c r="G253" s="25" t="str">
        <f t="shared" si="0"/>
        <v>('F-H301','Ruang Lab. Pengawasan Mutu','Gedung FATETA Wing H, Lantai 3','30','f'),</v>
      </c>
      <c r="H253" s="24" t="str">
        <f t="shared" si="4"/>
        <v>F-H301</v>
      </c>
      <c r="L253" s="9"/>
    </row>
    <row r="254" spans="1:12" ht="13" x14ac:dyDescent="0.3">
      <c r="A254" s="23">
        <v>253</v>
      </c>
      <c r="B254" s="24" t="s">
        <v>4075</v>
      </c>
      <c r="C254" s="24" t="s">
        <v>4076</v>
      </c>
      <c r="D254" s="24" t="s">
        <v>4074</v>
      </c>
      <c r="E254" s="23">
        <v>0</v>
      </c>
      <c r="F254" s="23" t="s">
        <v>1536</v>
      </c>
      <c r="G254" s="25" t="str">
        <f t="shared" si="0"/>
        <v>('F-H302','Ruang Lab. Instrument 1','Gedung FATETA Wing H, Lantai 3','0','f'),</v>
      </c>
      <c r="H254" s="24" t="str">
        <f t="shared" si="4"/>
        <v>F-H302</v>
      </c>
      <c r="L254" s="9"/>
    </row>
    <row r="255" spans="1:12" ht="13" x14ac:dyDescent="0.3">
      <c r="A255" s="23">
        <v>254</v>
      </c>
      <c r="B255" s="24" t="s">
        <v>4077</v>
      </c>
      <c r="C255" s="24" t="s">
        <v>4078</v>
      </c>
      <c r="D255" s="24" t="s">
        <v>4074</v>
      </c>
      <c r="E255" s="23">
        <v>30</v>
      </c>
      <c r="F255" s="23" t="s">
        <v>1536</v>
      </c>
      <c r="G255" s="25" t="str">
        <f t="shared" si="0"/>
        <v>('F-H303','Ruang Lab. Teknik dan Sistem Idustri','Gedung FATETA Wing H, Lantai 3','30','f'),</v>
      </c>
      <c r="H255" s="24" t="str">
        <f t="shared" si="4"/>
        <v>F-H303</v>
      </c>
      <c r="L255" s="9"/>
    </row>
    <row r="256" spans="1:12" ht="13" x14ac:dyDescent="0.3">
      <c r="A256" s="23">
        <v>255</v>
      </c>
      <c r="B256" s="24" t="s">
        <v>4079</v>
      </c>
      <c r="C256" s="24" t="s">
        <v>4080</v>
      </c>
      <c r="D256" s="24" t="s">
        <v>4081</v>
      </c>
      <c r="E256" s="23">
        <v>30</v>
      </c>
      <c r="F256" s="23" t="s">
        <v>1536</v>
      </c>
      <c r="G256" s="25" t="str">
        <f t="shared" si="0"/>
        <v>('F-H401','Ruang Lab. Komputer','Gedung FATETA Wing H, Lantai 4','30','f'),</v>
      </c>
      <c r="H256" s="24" t="str">
        <f t="shared" si="4"/>
        <v>F-H401</v>
      </c>
      <c r="L256" s="9"/>
    </row>
    <row r="257" spans="1:12" ht="13" x14ac:dyDescent="0.3">
      <c r="A257" s="23">
        <v>256</v>
      </c>
      <c r="B257" s="24" t="s">
        <v>4082</v>
      </c>
      <c r="C257" s="24" t="s">
        <v>4083</v>
      </c>
      <c r="D257" s="24" t="s">
        <v>3995</v>
      </c>
      <c r="E257" s="23">
        <v>0</v>
      </c>
      <c r="F257" s="23" t="s">
        <v>1536</v>
      </c>
      <c r="G257" s="25" t="str">
        <f t="shared" ref="G257:G511" si="5">CONCATENATE("('",B257,"','",C257,"','",D257,"','",E257,"','",F257,"'),")</f>
        <v>('FSEMPAU','RS. PAU','Fakultas','0','f'),</v>
      </c>
      <c r="H257" s="24" t="str">
        <f t="shared" si="4"/>
        <v>FSEMPAU</v>
      </c>
      <c r="L257" s="9"/>
    </row>
    <row r="258" spans="1:12" ht="13" x14ac:dyDescent="0.3">
      <c r="A258" s="23">
        <v>257</v>
      </c>
      <c r="B258" s="24" t="s">
        <v>2572</v>
      </c>
      <c r="C258" s="24" t="s">
        <v>4084</v>
      </c>
      <c r="D258" s="24" t="s">
        <v>4085</v>
      </c>
      <c r="E258" s="23">
        <v>6</v>
      </c>
      <c r="F258" s="23" t="s">
        <v>1536</v>
      </c>
      <c r="G258" s="25" t="str">
        <f t="shared" si="5"/>
        <v>('H203','Lab. Pengujian Departemen Teknologi Industri Pertanian','Fateta','6','f'),</v>
      </c>
      <c r="H258" s="24" t="str">
        <f t="shared" ref="H258:H321" si="6">B258</f>
        <v>H203</v>
      </c>
      <c r="L258" s="9"/>
    </row>
    <row r="259" spans="1:12" ht="13" x14ac:dyDescent="0.3">
      <c r="A259" s="23">
        <v>258</v>
      </c>
      <c r="B259" s="24" t="s">
        <v>4086</v>
      </c>
      <c r="C259" s="24" t="s">
        <v>4087</v>
      </c>
      <c r="D259" s="24" t="s">
        <v>4088</v>
      </c>
      <c r="E259" s="23">
        <v>0</v>
      </c>
      <c r="F259" s="23" t="s">
        <v>1536</v>
      </c>
      <c r="G259" s="25" t="str">
        <f t="shared" si="5"/>
        <v>('IPBF0101','RK. V 01 Lantai 1','Gedung Baru B','0','f'),</v>
      </c>
      <c r="H259" s="24" t="str">
        <f t="shared" si="6"/>
        <v>IPBF0101</v>
      </c>
      <c r="L259" s="9"/>
    </row>
    <row r="260" spans="1:12" ht="13" x14ac:dyDescent="0.3">
      <c r="A260" s="23">
        <v>259</v>
      </c>
      <c r="B260" s="24" t="s">
        <v>2784</v>
      </c>
      <c r="C260" s="24" t="s">
        <v>4089</v>
      </c>
      <c r="D260" s="24" t="s">
        <v>4088</v>
      </c>
      <c r="E260" s="23">
        <v>0</v>
      </c>
      <c r="F260" s="23" t="s">
        <v>1536</v>
      </c>
      <c r="G260" s="25" t="str">
        <f t="shared" si="5"/>
        <v>('IPBF0102','RK. V 02 Lantai 1','Gedung Baru B','0','f'),</v>
      </c>
      <c r="H260" s="24" t="str">
        <f t="shared" si="6"/>
        <v>IPBF0102</v>
      </c>
      <c r="L260" s="9"/>
    </row>
    <row r="261" spans="1:12" ht="13" x14ac:dyDescent="0.3">
      <c r="A261" s="23">
        <v>260</v>
      </c>
      <c r="B261" s="24" t="s">
        <v>2755</v>
      </c>
      <c r="C261" s="24" t="s">
        <v>4090</v>
      </c>
      <c r="D261" s="24" t="s">
        <v>4091</v>
      </c>
      <c r="E261" s="23">
        <v>100</v>
      </c>
      <c r="F261" s="23" t="s">
        <v>1536</v>
      </c>
      <c r="G261" s="25" t="str">
        <f t="shared" si="5"/>
        <v>('IPBF0201','RK. V 02.1','Wing Dept SIL Gedung Fateta','100','f'),</v>
      </c>
      <c r="H261" s="24" t="str">
        <f t="shared" si="6"/>
        <v>IPBF0201</v>
      </c>
      <c r="L261" s="9"/>
    </row>
    <row r="262" spans="1:12" ht="13" x14ac:dyDescent="0.3">
      <c r="A262" s="23">
        <v>261</v>
      </c>
      <c r="B262" s="24" t="s">
        <v>2778</v>
      </c>
      <c r="C262" s="24" t="s">
        <v>4092</v>
      </c>
      <c r="D262" s="24" t="s">
        <v>4093</v>
      </c>
      <c r="E262" s="23">
        <v>0</v>
      </c>
      <c r="F262" s="23" t="s">
        <v>1536</v>
      </c>
      <c r="G262" s="25" t="str">
        <f t="shared" si="5"/>
        <v>('IPBF0202','RK. V 02.2','Wing Dept SIL','0','f'),</v>
      </c>
      <c r="H262" s="24" t="str">
        <f t="shared" si="6"/>
        <v>IPBF0202</v>
      </c>
      <c r="L262" s="9"/>
    </row>
    <row r="263" spans="1:12" ht="13" x14ac:dyDescent="0.3">
      <c r="A263" s="23">
        <v>262</v>
      </c>
      <c r="B263" s="24" t="s">
        <v>2762</v>
      </c>
      <c r="C263" s="24" t="s">
        <v>4094</v>
      </c>
      <c r="D263" s="24" t="s">
        <v>4095</v>
      </c>
      <c r="E263" s="23">
        <v>140</v>
      </c>
      <c r="F263" s="23" t="s">
        <v>1536</v>
      </c>
      <c r="G263" s="25" t="str">
        <f t="shared" si="5"/>
        <v>('IPBF0203','RK. V 02.3','Wing Dept SIL Fateta','140','f'),</v>
      </c>
      <c r="H263" s="24" t="str">
        <f t="shared" si="6"/>
        <v>IPBF0203</v>
      </c>
      <c r="L263" s="9"/>
    </row>
    <row r="264" spans="1:12" ht="13" x14ac:dyDescent="0.3">
      <c r="A264" s="23">
        <v>263</v>
      </c>
      <c r="B264" s="24" t="s">
        <v>2776</v>
      </c>
      <c r="C264" s="24" t="s">
        <v>4096</v>
      </c>
      <c r="D264" s="24" t="s">
        <v>4093</v>
      </c>
      <c r="E264" s="23">
        <v>0</v>
      </c>
      <c r="F264" s="23" t="s">
        <v>1536</v>
      </c>
      <c r="G264" s="25" t="str">
        <f t="shared" si="5"/>
        <v>('IPBF0301','RK. V 03.1','Wing Dept SIL','0','f'),</v>
      </c>
      <c r="H264" s="24" t="str">
        <f t="shared" si="6"/>
        <v>IPBF0301</v>
      </c>
      <c r="L264" s="9"/>
    </row>
    <row r="265" spans="1:12" ht="13" x14ac:dyDescent="0.3">
      <c r="A265" s="23">
        <v>264</v>
      </c>
      <c r="B265" s="24" t="s">
        <v>4097</v>
      </c>
      <c r="C265" s="24" t="s">
        <v>4098</v>
      </c>
      <c r="D265" s="24" t="s">
        <v>4093</v>
      </c>
      <c r="E265" s="23">
        <v>0</v>
      </c>
      <c r="F265" s="23" t="s">
        <v>1536</v>
      </c>
      <c r="G265" s="25" t="str">
        <f t="shared" si="5"/>
        <v>('IPBF0302','RK. V 03.2','Wing Dept SIL','0','f'),</v>
      </c>
      <c r="H265" s="24" t="str">
        <f t="shared" si="6"/>
        <v>IPBF0302</v>
      </c>
      <c r="L265" s="9"/>
    </row>
    <row r="266" spans="1:12" ht="13" x14ac:dyDescent="0.3">
      <c r="A266" s="23">
        <v>265</v>
      </c>
      <c r="B266" s="24" t="s">
        <v>2614</v>
      </c>
      <c r="C266" s="24" t="s">
        <v>4099</v>
      </c>
      <c r="D266" s="24" t="s">
        <v>4093</v>
      </c>
      <c r="E266" s="23">
        <v>0</v>
      </c>
      <c r="F266" s="23" t="s">
        <v>1536</v>
      </c>
      <c r="G266" s="25" t="str">
        <f t="shared" si="5"/>
        <v>('IPBF0303','RK. V 03.3','Wing Dept SIL','0','f'),</v>
      </c>
      <c r="H266" s="24" t="str">
        <f t="shared" si="6"/>
        <v>IPBF0303</v>
      </c>
      <c r="L266" s="9"/>
    </row>
    <row r="267" spans="1:12" ht="13" x14ac:dyDescent="0.3">
      <c r="A267" s="23">
        <v>266</v>
      </c>
      <c r="B267" s="24" t="s">
        <v>2781</v>
      </c>
      <c r="C267" s="24" t="s">
        <v>915</v>
      </c>
      <c r="D267" s="24" t="s">
        <v>4100</v>
      </c>
      <c r="E267" s="23">
        <v>0</v>
      </c>
      <c r="F267" s="23" t="s">
        <v>1536</v>
      </c>
      <c r="G267" s="25" t="str">
        <f t="shared" si="5"/>
        <v>('R. Pasca SIL 2','Ruang Pasca SIL 2','Kampus IPB Darmaga','0','f'),</v>
      </c>
      <c r="H267" s="24" t="str">
        <f t="shared" si="6"/>
        <v>R. Pasca SIL 2</v>
      </c>
      <c r="L267" s="9"/>
    </row>
    <row r="268" spans="1:12" ht="13" x14ac:dyDescent="0.3">
      <c r="A268" s="23">
        <v>267</v>
      </c>
      <c r="B268" s="26" t="s">
        <v>2676</v>
      </c>
      <c r="C268" s="26" t="s">
        <v>851</v>
      </c>
      <c r="D268" s="26" t="s">
        <v>851</v>
      </c>
      <c r="E268" s="62">
        <f>VLOOKUP(C268,Mentah!G:H,2,FALSE)</f>
        <v>20</v>
      </c>
      <c r="F268" s="62" t="s">
        <v>1536</v>
      </c>
      <c r="G268" s="25" t="str">
        <f t="shared" si="5"/>
        <v>('F0001','RK A304 (A) -lt 3 (TIN)','RK A304 (A) -lt 3 (TIN)','20','f'),</v>
      </c>
      <c r="H268" s="24" t="str">
        <f t="shared" si="6"/>
        <v>F0001</v>
      </c>
      <c r="L268" s="9"/>
    </row>
    <row r="269" spans="1:12" ht="13" x14ac:dyDescent="0.3">
      <c r="A269" s="23">
        <v>268</v>
      </c>
      <c r="B269" s="26" t="s">
        <v>2597</v>
      </c>
      <c r="C269" s="26" t="s">
        <v>855</v>
      </c>
      <c r="D269" s="26" t="s">
        <v>855</v>
      </c>
      <c r="E269" s="62">
        <f>VLOOKUP(C269,Mentah!G:H,2,FALSE)</f>
        <v>20</v>
      </c>
      <c r="F269" s="62" t="s">
        <v>1536</v>
      </c>
      <c r="G269" s="25" t="str">
        <f t="shared" si="5"/>
        <v>('F0002','RK A304 (B) lt 3 (TIN)','RK A304 (B) lt 3 (TIN)','20','f'),</v>
      </c>
      <c r="H269" s="24" t="str">
        <f t="shared" si="6"/>
        <v>F0002</v>
      </c>
      <c r="L269" s="9"/>
    </row>
    <row r="270" spans="1:12" ht="13" x14ac:dyDescent="0.3">
      <c r="A270" s="23">
        <v>269</v>
      </c>
      <c r="B270" s="26" t="s">
        <v>2713</v>
      </c>
      <c r="C270" s="26" t="s">
        <v>876</v>
      </c>
      <c r="D270" s="26" t="s">
        <v>876</v>
      </c>
      <c r="E270" s="62">
        <f>VLOOKUP(C270,Mentah!G:H,2,FALSE)</f>
        <v>20</v>
      </c>
      <c r="F270" s="62" t="s">
        <v>1536</v>
      </c>
      <c r="G270" s="25" t="str">
        <f t="shared" si="5"/>
        <v>('F0003','RK F-G401-PASCA TIN','RK F-G401-PASCA TIN','20','f'),</v>
      </c>
      <c r="H270" s="24" t="str">
        <f t="shared" si="6"/>
        <v>F0003</v>
      </c>
      <c r="L270" s="9"/>
    </row>
    <row r="271" spans="1:12" ht="13" x14ac:dyDescent="0.3">
      <c r="A271" s="23">
        <v>270</v>
      </c>
      <c r="B271" s="26" t="s">
        <v>2703</v>
      </c>
      <c r="C271" s="26" t="s">
        <v>870</v>
      </c>
      <c r="D271" s="26" t="s">
        <v>870</v>
      </c>
      <c r="E271" s="62">
        <f>VLOOKUP(C271,Mentah!G:H,2,FALSE)</f>
        <v>30</v>
      </c>
      <c r="F271" s="62" t="s">
        <v>1536</v>
      </c>
      <c r="G271" s="25" t="str">
        <f t="shared" si="5"/>
        <v>('F0004','RK PASCA TIN-Lab. Bisnis dan Aplikasi Industri','RK PASCA TIN-Lab. Bisnis dan Aplikasi Industri','30','f'),</v>
      </c>
      <c r="H271" s="24" t="str">
        <f t="shared" si="6"/>
        <v>F0004</v>
      </c>
      <c r="L271" s="9"/>
    </row>
    <row r="272" spans="1:12" ht="13" x14ac:dyDescent="0.3">
      <c r="A272" s="23">
        <v>271</v>
      </c>
      <c r="B272" s="26" t="s">
        <v>2684</v>
      </c>
      <c r="C272" s="26" t="s">
        <v>859</v>
      </c>
      <c r="D272" s="26" t="s">
        <v>859</v>
      </c>
      <c r="E272" s="62">
        <f>VLOOKUP(C272,Mentah!G:H,2,FALSE)</f>
        <v>20</v>
      </c>
      <c r="F272" s="62" t="s">
        <v>1536</v>
      </c>
      <c r="G272" s="25" t="str">
        <f t="shared" si="5"/>
        <v>('F0005','RK. AGRIN PASCA TIN - LT 3','RK. AGRIN PASCA TIN - LT 3','20','f'),</v>
      </c>
      <c r="H272" s="24" t="str">
        <f t="shared" si="6"/>
        <v>F0005</v>
      </c>
      <c r="L272" s="9"/>
    </row>
    <row r="273" spans="1:12" ht="13" x14ac:dyDescent="0.3">
      <c r="A273" s="23">
        <v>272</v>
      </c>
      <c r="B273" s="26" t="s">
        <v>2553</v>
      </c>
      <c r="C273" s="26" t="s">
        <v>748</v>
      </c>
      <c r="D273" s="26" t="s">
        <v>748</v>
      </c>
      <c r="E273" s="62">
        <f>VLOOKUP(C273,Mentah!G:H,2,FALSE)</f>
        <v>20</v>
      </c>
      <c r="F273" s="62" t="s">
        <v>1536</v>
      </c>
      <c r="G273" s="25" t="str">
        <f t="shared" si="5"/>
        <v>('F0006','RPPS TMB-3 (TPP)','RPPS TMB-3 (TPP)','20','f'),</v>
      </c>
      <c r="H273" s="24" t="str">
        <f t="shared" si="6"/>
        <v>F0006</v>
      </c>
      <c r="L273" s="9"/>
    </row>
    <row r="274" spans="1:12" ht="13" x14ac:dyDescent="0.3">
      <c r="A274" s="23">
        <v>273</v>
      </c>
      <c r="B274" s="26" t="s">
        <v>2603</v>
      </c>
      <c r="C274" s="26" t="s">
        <v>788</v>
      </c>
      <c r="D274" s="27" t="s">
        <v>788</v>
      </c>
      <c r="E274" s="62">
        <f>VLOOKUP(C274,Mentah!G:H,2,FALSE)</f>
        <v>20</v>
      </c>
      <c r="F274" s="62" t="s">
        <v>1536</v>
      </c>
      <c r="G274" s="25" t="str">
        <f t="shared" si="5"/>
        <v>('F0007','RPPS TMB-1 (TMP)','RPPS TMB-1 (TMP)','20','f'),</v>
      </c>
      <c r="H274" s="24" t="str">
        <f t="shared" si="6"/>
        <v>F0007</v>
      </c>
      <c r="L274" s="9"/>
    </row>
    <row r="275" spans="1:12" ht="13" x14ac:dyDescent="0.3">
      <c r="A275" s="23">
        <v>274</v>
      </c>
      <c r="B275" s="24" t="s">
        <v>3058</v>
      </c>
      <c r="C275" s="24" t="s">
        <v>4101</v>
      </c>
      <c r="D275" s="24" t="s">
        <v>4102</v>
      </c>
      <c r="E275" s="23">
        <v>0</v>
      </c>
      <c r="F275" s="23" t="s">
        <v>1538</v>
      </c>
      <c r="G275" s="25" t="str">
        <f t="shared" si="5"/>
        <v>('G204SEMI','RK. 20 FAC 4','Wing 20 / 4 (ILKOM)','0','g'),</v>
      </c>
      <c r="H275" s="24" t="str">
        <f t="shared" si="6"/>
        <v>G204SEMI</v>
      </c>
      <c r="L275" s="9"/>
    </row>
    <row r="276" spans="1:12" ht="13" x14ac:dyDescent="0.3">
      <c r="A276" s="23">
        <v>275</v>
      </c>
      <c r="B276" s="24" t="s">
        <v>3033</v>
      </c>
      <c r="C276" s="24" t="s">
        <v>4103</v>
      </c>
      <c r="D276" s="24" t="s">
        <v>4104</v>
      </c>
      <c r="E276" s="23">
        <v>120</v>
      </c>
      <c r="F276" s="23" t="s">
        <v>1538</v>
      </c>
      <c r="G276" s="25" t="str">
        <f t="shared" si="5"/>
        <v>('G3RK001.1','RK BIO 1.1 Dept Biologi Lantai 1','Gedung Biologi Lantai 1','120','g'),</v>
      </c>
      <c r="H276" s="24" t="str">
        <f t="shared" si="6"/>
        <v>G3RK001.1</v>
      </c>
      <c r="L276" s="9"/>
    </row>
    <row r="277" spans="1:12" ht="13" x14ac:dyDescent="0.3">
      <c r="A277" s="23">
        <v>276</v>
      </c>
      <c r="B277" s="24" t="s">
        <v>3025</v>
      </c>
      <c r="C277" s="24" t="s">
        <v>4105</v>
      </c>
      <c r="D277" s="24" t="s">
        <v>4104</v>
      </c>
      <c r="E277" s="23">
        <v>120</v>
      </c>
      <c r="F277" s="23" t="s">
        <v>1538</v>
      </c>
      <c r="G277" s="25" t="str">
        <f t="shared" si="5"/>
        <v>('G3RK001.2','RK BIO 1.2, Dept Biologi Lantai 1','Gedung Biologi Lantai 1','120','g'),</v>
      </c>
      <c r="H277" s="24" t="str">
        <f t="shared" si="6"/>
        <v>G3RK001.2</v>
      </c>
      <c r="L277" s="9"/>
    </row>
    <row r="278" spans="1:12" ht="13" x14ac:dyDescent="0.3">
      <c r="A278" s="23">
        <v>277</v>
      </c>
      <c r="B278" s="24" t="s">
        <v>2955</v>
      </c>
      <c r="C278" s="24" t="s">
        <v>4106</v>
      </c>
      <c r="D278" s="24" t="s">
        <v>4107</v>
      </c>
      <c r="E278" s="23">
        <v>60</v>
      </c>
      <c r="F278" s="23" t="s">
        <v>1538</v>
      </c>
      <c r="G278" s="25" t="str">
        <f t="shared" si="5"/>
        <v>('G3RK001.3','Rk. Bio.1.3 Dept Biologi Lantai 1','Gedung Biologi lantai 1','60','g'),</v>
      </c>
      <c r="H278" s="24" t="str">
        <f t="shared" si="6"/>
        <v>G3RK001.3</v>
      </c>
      <c r="L278" s="9"/>
    </row>
    <row r="279" spans="1:12" ht="13" x14ac:dyDescent="0.3">
      <c r="A279" s="23">
        <v>278</v>
      </c>
      <c r="B279" s="24" t="s">
        <v>3048</v>
      </c>
      <c r="C279" s="24" t="s">
        <v>4108</v>
      </c>
      <c r="D279" s="24" t="s">
        <v>4107</v>
      </c>
      <c r="E279" s="23">
        <v>60</v>
      </c>
      <c r="F279" s="23" t="s">
        <v>1538</v>
      </c>
      <c r="G279" s="25" t="str">
        <f t="shared" si="5"/>
        <v>('G3RK001.4','RK. Bio 1.4 Dept Biologi lantai 1','Gedung Biologi lantai 1','60','g'),</v>
      </c>
      <c r="H279" s="24" t="str">
        <f t="shared" si="6"/>
        <v>G3RK001.4</v>
      </c>
      <c r="L279" s="9"/>
    </row>
    <row r="280" spans="1:12" ht="13" x14ac:dyDescent="0.3">
      <c r="A280" s="23">
        <v>279</v>
      </c>
      <c r="B280" s="24" t="s">
        <v>2997</v>
      </c>
      <c r="C280" s="24" t="s">
        <v>4109</v>
      </c>
      <c r="D280" s="24" t="s">
        <v>4110</v>
      </c>
      <c r="E280" s="23">
        <v>30</v>
      </c>
      <c r="F280" s="23" t="s">
        <v>1538</v>
      </c>
      <c r="G280" s="25" t="str">
        <f t="shared" si="5"/>
        <v>('G41KIMIA1','RK. KIMIA','DEPARTEMEN KIMIA','30','g'),</v>
      </c>
      <c r="H280" s="24" t="str">
        <f t="shared" si="6"/>
        <v>G41KIMIA1</v>
      </c>
      <c r="L280" s="9"/>
    </row>
    <row r="281" spans="1:12" ht="13" x14ac:dyDescent="0.3">
      <c r="A281" s="23">
        <v>280</v>
      </c>
      <c r="B281" s="24" t="s">
        <v>3054</v>
      </c>
      <c r="C281" s="24" t="s">
        <v>4111</v>
      </c>
      <c r="D281" s="24" t="s">
        <v>4110</v>
      </c>
      <c r="E281" s="23">
        <v>60</v>
      </c>
      <c r="F281" s="23" t="s">
        <v>1538</v>
      </c>
      <c r="G281" s="25" t="str">
        <f t="shared" si="5"/>
        <v>('G41KIMIA2','RK. KIMIA2','DEPARTEMEN KIMIA','60','g'),</v>
      </c>
      <c r="H281" s="24" t="str">
        <f t="shared" si="6"/>
        <v>G41KIMIA2</v>
      </c>
      <c r="L281" s="9"/>
    </row>
    <row r="282" spans="1:12" ht="13" x14ac:dyDescent="0.3">
      <c r="A282" s="23">
        <v>281</v>
      </c>
      <c r="B282" s="24" t="s">
        <v>2994</v>
      </c>
      <c r="C282" s="24" t="s">
        <v>4112</v>
      </c>
      <c r="D282" s="24" t="s">
        <v>4113</v>
      </c>
      <c r="E282" s="23">
        <v>51</v>
      </c>
      <c r="F282" s="23" t="s">
        <v>1538</v>
      </c>
      <c r="G282" s="25" t="str">
        <f t="shared" si="5"/>
        <v>('G6LAB01','Lab. 1 Kom','Departemen Ilkom','51','g'),</v>
      </c>
      <c r="H282" s="24" t="str">
        <f t="shared" si="6"/>
        <v>G6LAB01</v>
      </c>
      <c r="L282" s="9"/>
    </row>
    <row r="283" spans="1:12" ht="13" x14ac:dyDescent="0.3">
      <c r="A283" s="23">
        <v>282</v>
      </c>
      <c r="B283" s="24" t="s">
        <v>2856</v>
      </c>
      <c r="C283" s="24" t="s">
        <v>4114</v>
      </c>
      <c r="D283" s="24" t="s">
        <v>4113</v>
      </c>
      <c r="E283" s="23">
        <v>50</v>
      </c>
      <c r="F283" s="23" t="s">
        <v>1538</v>
      </c>
      <c r="G283" s="25" t="str">
        <f t="shared" si="5"/>
        <v>('G6LAB02','Lab. 2 Kom','Departemen Ilkom','50','g'),</v>
      </c>
      <c r="H283" s="24" t="str">
        <f t="shared" si="6"/>
        <v>G6LAB02</v>
      </c>
      <c r="L283" s="9"/>
    </row>
    <row r="284" spans="1:12" ht="13" x14ac:dyDescent="0.3">
      <c r="A284" s="23">
        <v>283</v>
      </c>
      <c r="B284" s="24" t="s">
        <v>3004</v>
      </c>
      <c r="C284" s="24" t="s">
        <v>4115</v>
      </c>
      <c r="D284" s="24" t="s">
        <v>4113</v>
      </c>
      <c r="E284" s="23">
        <v>45</v>
      </c>
      <c r="F284" s="23" t="s">
        <v>1538</v>
      </c>
      <c r="G284" s="25" t="str">
        <f t="shared" si="5"/>
        <v>('G6LAB03','Lab. NCC','Departemen Ilkom','45','g'),</v>
      </c>
      <c r="H284" s="24" t="str">
        <f t="shared" si="6"/>
        <v>G6LAB03</v>
      </c>
      <c r="L284" s="9"/>
    </row>
    <row r="285" spans="1:12" ht="13" x14ac:dyDescent="0.3">
      <c r="A285" s="23">
        <v>284</v>
      </c>
      <c r="B285" s="24" t="s">
        <v>3060</v>
      </c>
      <c r="C285" s="24" t="s">
        <v>4116</v>
      </c>
      <c r="D285" s="24" t="s">
        <v>4117</v>
      </c>
      <c r="E285" s="23">
        <v>0</v>
      </c>
      <c r="F285" s="23" t="s">
        <v>1538</v>
      </c>
      <c r="G285" s="25" t="str">
        <f t="shared" si="5"/>
        <v>('G6SERUNI','RK. Seruni 2 (Ilkom)','Ilkom','0','g'),</v>
      </c>
      <c r="H285" s="24" t="str">
        <f t="shared" si="6"/>
        <v>G6SERUNI</v>
      </c>
      <c r="L285" s="9"/>
    </row>
    <row r="286" spans="1:12" ht="13" x14ac:dyDescent="0.3">
      <c r="A286" s="23">
        <v>285</v>
      </c>
      <c r="B286" s="24" t="s">
        <v>2851</v>
      </c>
      <c r="C286" s="24" t="s">
        <v>4118</v>
      </c>
      <c r="D286" s="24" t="s">
        <v>4119</v>
      </c>
      <c r="E286" s="23">
        <v>0</v>
      </c>
      <c r="F286" s="23" t="s">
        <v>1538</v>
      </c>
      <c r="G286" s="25" t="str">
        <f t="shared" si="5"/>
        <v>('IPBU0101','RK. U 1.01','Wing U Lantai 1 Gedung Baru A','0','g'),</v>
      </c>
      <c r="H286" s="24" t="str">
        <f t="shared" si="6"/>
        <v>IPBU0101</v>
      </c>
      <c r="L286" s="9"/>
    </row>
    <row r="287" spans="1:12" ht="13" x14ac:dyDescent="0.3">
      <c r="A287" s="23">
        <v>286</v>
      </c>
      <c r="B287" s="24" t="s">
        <v>4120</v>
      </c>
      <c r="C287" s="24" t="s">
        <v>4121</v>
      </c>
      <c r="D287" s="24" t="s">
        <v>4119</v>
      </c>
      <c r="E287" s="23">
        <v>0</v>
      </c>
      <c r="F287" s="23" t="s">
        <v>1538</v>
      </c>
      <c r="G287" s="25" t="str">
        <f t="shared" si="5"/>
        <v>('IPBU0102','RK. U 1.02','Wing U Lantai 1 Gedung Baru A','0','g'),</v>
      </c>
      <c r="H287" s="24" t="str">
        <f t="shared" si="6"/>
        <v>IPBU0102</v>
      </c>
      <c r="L287" s="9"/>
    </row>
    <row r="288" spans="1:12" ht="13" x14ac:dyDescent="0.3">
      <c r="A288" s="23">
        <v>287</v>
      </c>
      <c r="B288" s="24" t="s">
        <v>2957</v>
      </c>
      <c r="C288" s="24" t="s">
        <v>4122</v>
      </c>
      <c r="D288" s="24" t="s">
        <v>4123</v>
      </c>
      <c r="E288" s="23">
        <v>160</v>
      </c>
      <c r="F288" s="23" t="s">
        <v>1538</v>
      </c>
      <c r="G288" s="25" t="str">
        <f t="shared" si="5"/>
        <v>('IPBU0201','RK. U 2.01','Wing U Lantai 2','160','g'),</v>
      </c>
      <c r="H288" s="24" t="str">
        <f t="shared" si="6"/>
        <v>IPBU0201</v>
      </c>
      <c r="L288" s="9"/>
    </row>
    <row r="289" spans="1:12" ht="13" x14ac:dyDescent="0.3">
      <c r="A289" s="23">
        <v>288</v>
      </c>
      <c r="B289" s="24" t="s">
        <v>4124</v>
      </c>
      <c r="C289" s="24" t="s">
        <v>4125</v>
      </c>
      <c r="D289" s="24" t="s">
        <v>4123</v>
      </c>
      <c r="E289" s="23">
        <v>80</v>
      </c>
      <c r="F289" s="23" t="s">
        <v>1538</v>
      </c>
      <c r="G289" s="25" t="str">
        <f t="shared" si="5"/>
        <v>('IPBU0202','RK. U 2.02','Wing U Lantai 2','80','g'),</v>
      </c>
      <c r="H289" s="24" t="str">
        <f t="shared" si="6"/>
        <v>IPBU0202</v>
      </c>
      <c r="L289" s="9"/>
    </row>
    <row r="290" spans="1:12" ht="13" x14ac:dyDescent="0.3">
      <c r="A290" s="23">
        <v>289</v>
      </c>
      <c r="B290" s="24" t="s">
        <v>3075</v>
      </c>
      <c r="C290" s="24" t="s">
        <v>4126</v>
      </c>
      <c r="D290" s="24" t="s">
        <v>4123</v>
      </c>
      <c r="E290" s="23">
        <v>160</v>
      </c>
      <c r="F290" s="23" t="s">
        <v>1538</v>
      </c>
      <c r="G290" s="25" t="str">
        <f t="shared" si="5"/>
        <v>('IPBU0203','RK. U 2.03','Wing U Lantai 2','160','g'),</v>
      </c>
      <c r="H290" s="24" t="str">
        <f t="shared" si="6"/>
        <v>IPBU0203</v>
      </c>
      <c r="L290" s="9"/>
    </row>
    <row r="291" spans="1:12" ht="13" x14ac:dyDescent="0.3">
      <c r="A291" s="23">
        <v>290</v>
      </c>
      <c r="B291" s="24" t="s">
        <v>2860</v>
      </c>
      <c r="C291" s="24" t="s">
        <v>4127</v>
      </c>
      <c r="D291" s="24" t="s">
        <v>4128</v>
      </c>
      <c r="E291" s="23">
        <v>95</v>
      </c>
      <c r="F291" s="23" t="s">
        <v>1538</v>
      </c>
      <c r="G291" s="25" t="str">
        <f t="shared" si="5"/>
        <v>('IPBU0301','RK. U 3.01','Wing U Lantai 3','95','g'),</v>
      </c>
      <c r="H291" s="24" t="str">
        <f t="shared" si="6"/>
        <v>IPBU0301</v>
      </c>
      <c r="L291" s="9"/>
    </row>
    <row r="292" spans="1:12" ht="13" x14ac:dyDescent="0.3">
      <c r="A292" s="23">
        <v>291</v>
      </c>
      <c r="B292" s="24" t="s">
        <v>2893</v>
      </c>
      <c r="C292" s="24" t="s">
        <v>4129</v>
      </c>
      <c r="D292" s="24" t="s">
        <v>4128</v>
      </c>
      <c r="E292" s="23">
        <v>95</v>
      </c>
      <c r="F292" s="23" t="s">
        <v>1538</v>
      </c>
      <c r="G292" s="25" t="str">
        <f t="shared" si="5"/>
        <v>('IPBU0302','RK. U 3.02','Wing U Lantai 3','95','g'),</v>
      </c>
      <c r="H292" s="24" t="str">
        <f t="shared" si="6"/>
        <v>IPBU0302</v>
      </c>
      <c r="L292" s="9"/>
    </row>
    <row r="293" spans="1:12" ht="13" x14ac:dyDescent="0.3">
      <c r="A293" s="23">
        <v>292</v>
      </c>
      <c r="B293" s="24" t="s">
        <v>2987</v>
      </c>
      <c r="C293" s="24" t="s">
        <v>4130</v>
      </c>
      <c r="D293" s="24" t="s">
        <v>4128</v>
      </c>
      <c r="E293" s="23">
        <v>140</v>
      </c>
      <c r="F293" s="23" t="s">
        <v>1538</v>
      </c>
      <c r="G293" s="25" t="str">
        <f t="shared" si="5"/>
        <v>('IPBU0303','RK. U 3.03','Wing U Lantai 3','140','g'),</v>
      </c>
      <c r="H293" s="24" t="str">
        <f t="shared" si="6"/>
        <v>IPBU0303</v>
      </c>
      <c r="L293" s="9"/>
    </row>
    <row r="294" spans="1:12" ht="13" x14ac:dyDescent="0.3">
      <c r="A294" s="23">
        <v>293</v>
      </c>
      <c r="B294" s="26" t="s">
        <v>2817</v>
      </c>
      <c r="C294" s="26" t="s">
        <v>1161</v>
      </c>
      <c r="D294" s="26" t="s">
        <v>1161</v>
      </c>
      <c r="E294" s="62">
        <f>VLOOKUP(C294,Mentah!G:H,2,FALSE)</f>
        <v>20</v>
      </c>
      <c r="F294" s="62" t="s">
        <v>1538</v>
      </c>
      <c r="G294" s="25" t="str">
        <f t="shared" si="5"/>
        <v>('G0001','Lab. BIK (BIK)','Lab. BIK (BIK)','20','g'),</v>
      </c>
      <c r="H294" s="24" t="str">
        <f t="shared" si="6"/>
        <v>G0001</v>
      </c>
      <c r="L294" s="9"/>
    </row>
    <row r="295" spans="1:12" ht="13" x14ac:dyDescent="0.3">
      <c r="A295" s="23">
        <v>294</v>
      </c>
      <c r="B295" s="26" t="s">
        <v>2901</v>
      </c>
      <c r="C295" s="26" t="s">
        <v>1003</v>
      </c>
      <c r="D295" s="26" t="s">
        <v>1003</v>
      </c>
      <c r="E295" s="62">
        <f>VLOOKUP(C295,Mentah!G:H,2,FALSE)</f>
        <v>20</v>
      </c>
      <c r="F295" s="62" t="s">
        <v>1538</v>
      </c>
      <c r="G295" s="25" t="str">
        <f t="shared" si="5"/>
        <v>('G0002','Laboratorium BIO 1','Laboratorium BIO 1','20','g'),</v>
      </c>
      <c r="H295" s="24" t="str">
        <f t="shared" si="6"/>
        <v>G0002</v>
      </c>
      <c r="L295" s="9"/>
    </row>
    <row r="296" spans="1:12" ht="13" x14ac:dyDescent="0.3">
      <c r="A296" s="23">
        <v>295</v>
      </c>
      <c r="B296" s="26" t="s">
        <v>2899</v>
      </c>
      <c r="C296" s="26" t="s">
        <v>1002</v>
      </c>
      <c r="D296" s="26" t="s">
        <v>1002</v>
      </c>
      <c r="E296" s="62">
        <f>VLOOKUP(C296,Mentah!G:H,2,FALSE)</f>
        <v>20</v>
      </c>
      <c r="F296" s="62" t="s">
        <v>1538</v>
      </c>
      <c r="G296" s="25" t="str">
        <f t="shared" si="5"/>
        <v>('G0003','Laboratorium BIO 3','Laboratorium BIO 3','20','g'),</v>
      </c>
      <c r="H296" s="24" t="str">
        <f t="shared" si="6"/>
        <v>G0003</v>
      </c>
      <c r="L296" s="9"/>
    </row>
    <row r="297" spans="1:12" ht="13" x14ac:dyDescent="0.3">
      <c r="A297" s="23">
        <v>296</v>
      </c>
      <c r="B297" s="26" t="s">
        <v>2877</v>
      </c>
      <c r="C297" s="26" t="s">
        <v>991</v>
      </c>
      <c r="D297" s="26" t="s">
        <v>991</v>
      </c>
      <c r="E297" s="62">
        <f>VLOOKUP(C297,Mentah!G:H,2,FALSE)</f>
        <v>20</v>
      </c>
      <c r="F297" s="62" t="s">
        <v>1538</v>
      </c>
      <c r="G297" s="25" t="str">
        <f t="shared" si="5"/>
        <v>('G0004','Laboratorium BIO 5','Laboratorium BIO 5','20','g'),</v>
      </c>
      <c r="H297" s="24" t="str">
        <f t="shared" si="6"/>
        <v>G0004</v>
      </c>
      <c r="L297" s="9"/>
    </row>
    <row r="298" spans="1:12" ht="13" x14ac:dyDescent="0.3">
      <c r="A298" s="23">
        <v>297</v>
      </c>
      <c r="B298" s="26" t="s">
        <v>2896</v>
      </c>
      <c r="C298" s="26" t="s">
        <v>1000</v>
      </c>
      <c r="D298" s="26" t="s">
        <v>1000</v>
      </c>
      <c r="E298" s="62">
        <f>VLOOKUP(C298,Mentah!G:H,2,FALSE)</f>
        <v>20</v>
      </c>
      <c r="F298" s="62" t="s">
        <v>1538</v>
      </c>
      <c r="G298" s="25" t="str">
        <f t="shared" si="5"/>
        <v>('G0005','Laboratorium BIO 6','Laboratorium BIO 6','20','g'),</v>
      </c>
      <c r="H298" s="24" t="str">
        <f t="shared" si="6"/>
        <v>G0005</v>
      </c>
      <c r="L298" s="9"/>
    </row>
    <row r="299" spans="1:12" ht="13" x14ac:dyDescent="0.3">
      <c r="A299" s="23">
        <v>298</v>
      </c>
      <c r="B299" s="26" t="s">
        <v>2947</v>
      </c>
      <c r="C299" s="26" t="s">
        <v>1037</v>
      </c>
      <c r="D299" s="26" t="s">
        <v>1037</v>
      </c>
      <c r="E299" s="62">
        <f>VLOOKUP(C299,Mentah!G:H,2,FALSE)</f>
        <v>20</v>
      </c>
      <c r="F299" s="62" t="s">
        <v>1538</v>
      </c>
      <c r="G299" s="25" t="str">
        <f t="shared" si="5"/>
        <v>('G0006','Laboratorium BIO 7','Laboratorium BIO 7','20','g'),</v>
      </c>
      <c r="H299" s="24" t="str">
        <f t="shared" si="6"/>
        <v>G0006</v>
      </c>
      <c r="L299" s="9"/>
    </row>
    <row r="300" spans="1:12" ht="13" x14ac:dyDescent="0.3">
      <c r="A300" s="23">
        <v>299</v>
      </c>
      <c r="B300" s="26" t="s">
        <v>2917</v>
      </c>
      <c r="C300" s="26" t="s">
        <v>1018</v>
      </c>
      <c r="D300" s="26" t="s">
        <v>1018</v>
      </c>
      <c r="E300" s="62">
        <f>VLOOKUP(C300,Mentah!G:H,2,FALSE)</f>
        <v>10</v>
      </c>
      <c r="F300" s="62" t="s">
        <v>1538</v>
      </c>
      <c r="G300" s="25" t="str">
        <f t="shared" si="5"/>
        <v>('G0007','RK Pasca BIO 1','RK Pasca BIO 1','10','g'),</v>
      </c>
      <c r="H300" s="24" t="str">
        <f t="shared" si="6"/>
        <v>G0007</v>
      </c>
      <c r="L300" s="9"/>
    </row>
    <row r="301" spans="1:12" ht="13" x14ac:dyDescent="0.3">
      <c r="A301" s="23">
        <v>300</v>
      </c>
      <c r="B301" s="26" t="s">
        <v>2920</v>
      </c>
      <c r="C301" s="26" t="s">
        <v>1021</v>
      </c>
      <c r="D301" s="26" t="s">
        <v>1021</v>
      </c>
      <c r="E301" s="62">
        <f>VLOOKUP(C301,Mentah!G:H,2,FALSE)</f>
        <v>10</v>
      </c>
      <c r="F301" s="62" t="s">
        <v>1538</v>
      </c>
      <c r="G301" s="25" t="str">
        <f t="shared" si="5"/>
        <v>('G0008','RK Pasca BIO 2','RK Pasca BIO 2','10','g'),</v>
      </c>
      <c r="H301" s="24" t="str">
        <f t="shared" si="6"/>
        <v>G0008</v>
      </c>
      <c r="L301" s="9"/>
    </row>
    <row r="302" spans="1:12" ht="13" x14ac:dyDescent="0.3">
      <c r="A302" s="23">
        <v>301</v>
      </c>
      <c r="B302" s="26" t="s">
        <v>2923</v>
      </c>
      <c r="C302" s="26" t="s">
        <v>1024</v>
      </c>
      <c r="D302" s="26" t="s">
        <v>1024</v>
      </c>
      <c r="E302" s="62">
        <f>VLOOKUP(C302,Mentah!G:H,2,FALSE)</f>
        <v>10</v>
      </c>
      <c r="F302" s="62" t="s">
        <v>1538</v>
      </c>
      <c r="G302" s="25" t="str">
        <f t="shared" si="5"/>
        <v>('G0009','RK Pasca BIO 3','RK Pasca BIO 3','10','g'),</v>
      </c>
      <c r="H302" s="24" t="str">
        <f t="shared" si="6"/>
        <v>G0009</v>
      </c>
      <c r="L302" s="9"/>
    </row>
    <row r="303" spans="1:12" ht="13" x14ac:dyDescent="0.3">
      <c r="A303" s="23">
        <v>302</v>
      </c>
      <c r="B303" s="26" t="s">
        <v>2914</v>
      </c>
      <c r="C303" s="26" t="s">
        <v>1015</v>
      </c>
      <c r="D303" s="26" t="s">
        <v>1015</v>
      </c>
      <c r="E303" s="62">
        <f>VLOOKUP(C303,Mentah!G:H,2,FALSE)</f>
        <v>10</v>
      </c>
      <c r="F303" s="62" t="s">
        <v>1538</v>
      </c>
      <c r="G303" s="25" t="str">
        <f t="shared" si="5"/>
        <v>('G0010','RK Pasca BIO 4','RK Pasca BIO 4','10','g'),</v>
      </c>
      <c r="H303" s="24" t="str">
        <f t="shared" si="6"/>
        <v>G0010</v>
      </c>
      <c r="L303" s="9"/>
    </row>
    <row r="304" spans="1:12" ht="13" x14ac:dyDescent="0.3">
      <c r="A304" s="23">
        <v>303</v>
      </c>
      <c r="B304" s="26" t="s">
        <v>3078</v>
      </c>
      <c r="C304" s="26" t="s">
        <v>1155</v>
      </c>
      <c r="D304" s="26" t="s">
        <v>1155</v>
      </c>
      <c r="E304" s="62">
        <f>VLOOKUP(C304,Mentah!G:H,2,FALSE)</f>
        <v>90</v>
      </c>
      <c r="F304" s="62" t="s">
        <v>1538</v>
      </c>
      <c r="G304" s="25" t="str">
        <f t="shared" si="5"/>
        <v>('G0011','RK. BIK 1 Lt. 2 Pasca','RK. BIK 1 Lt. 2 Pasca','90','g'),</v>
      </c>
      <c r="H304" s="24" t="str">
        <f t="shared" si="6"/>
        <v>G0011</v>
      </c>
      <c r="L304" s="9"/>
    </row>
    <row r="305" spans="1:12" ht="13" x14ac:dyDescent="0.3">
      <c r="A305" s="23">
        <v>304</v>
      </c>
      <c r="B305" s="26" t="s">
        <v>3021</v>
      </c>
      <c r="C305" s="26" t="s">
        <v>1170</v>
      </c>
      <c r="D305" s="26" t="s">
        <v>1170</v>
      </c>
      <c r="E305" s="62">
        <f>VLOOKUP(C305,Mentah!G:H,2,FALSE)</f>
        <v>90</v>
      </c>
      <c r="F305" s="62" t="s">
        <v>1538</v>
      </c>
      <c r="G305" s="25" t="str">
        <f t="shared" si="5"/>
        <v>('G0012','RK. BIK 2 Lt. 2','RK. BIK 2 Lt. 2','90','g'),</v>
      </c>
      <c r="H305" s="24" t="str">
        <f t="shared" si="6"/>
        <v>G0012</v>
      </c>
      <c r="L305" s="9"/>
    </row>
    <row r="306" spans="1:12" ht="13" x14ac:dyDescent="0.3">
      <c r="A306" s="23">
        <v>305</v>
      </c>
      <c r="B306" s="26" t="s">
        <v>1644</v>
      </c>
      <c r="C306" s="26" t="s">
        <v>97</v>
      </c>
      <c r="D306" s="26" t="s">
        <v>97</v>
      </c>
      <c r="E306" s="62">
        <f>VLOOKUP(C306,Mentah!G:H,2,FALSE)</f>
        <v>20</v>
      </c>
      <c r="F306" s="62" t="s">
        <v>1538</v>
      </c>
      <c r="G306" s="25" t="str">
        <f t="shared" si="5"/>
        <v>('G0013','RK. Pasca 2 Fitopatologi(FIT)','RK. Pasca 2 Fitopatologi(FIT)','20','g'),</v>
      </c>
      <c r="H306" s="24" t="str">
        <f t="shared" si="6"/>
        <v>G0013</v>
      </c>
      <c r="L306" s="9"/>
    </row>
    <row r="307" spans="1:12" ht="13" x14ac:dyDescent="0.3">
      <c r="A307" s="23">
        <v>306</v>
      </c>
      <c r="B307" s="26" t="s">
        <v>2537</v>
      </c>
      <c r="C307" s="26" t="s">
        <v>734</v>
      </c>
      <c r="D307" s="26" t="s">
        <v>734</v>
      </c>
      <c r="E307" s="62">
        <f>VLOOKUP(C307,Mentah!G:H,2,FALSE)</f>
        <v>40</v>
      </c>
      <c r="F307" s="62" t="s">
        <v>1538</v>
      </c>
      <c r="G307" s="25" t="str">
        <f t="shared" si="5"/>
        <v>('G0014','RK. Pasca Bio 5','RK. Pasca Bio 5','40','g'),</v>
      </c>
      <c r="H307" s="24" t="str">
        <f t="shared" si="6"/>
        <v>G0014</v>
      </c>
      <c r="L307" s="9"/>
    </row>
    <row r="308" spans="1:12" ht="13" x14ac:dyDescent="0.3">
      <c r="A308" s="23">
        <v>307</v>
      </c>
      <c r="B308" s="26" t="s">
        <v>2890</v>
      </c>
      <c r="C308" s="26" t="s">
        <v>995</v>
      </c>
      <c r="D308" s="26" t="s">
        <v>995</v>
      </c>
      <c r="E308" s="62">
        <f>VLOOKUP(C308,Mentah!G:H,2,FALSE)</f>
        <v>20</v>
      </c>
      <c r="F308" s="62" t="s">
        <v>1538</v>
      </c>
      <c r="G308" s="25" t="str">
        <f t="shared" si="5"/>
        <v>('G0015','RK. Pasca Bio 6','RK. Pasca Bio 6','20','g'),</v>
      </c>
      <c r="H308" s="24" t="str">
        <f t="shared" si="6"/>
        <v>G0015</v>
      </c>
      <c r="L308" s="9"/>
    </row>
    <row r="309" spans="1:12" ht="13" x14ac:dyDescent="0.3">
      <c r="A309" s="23">
        <v>308</v>
      </c>
      <c r="B309" s="26" t="s">
        <v>3008</v>
      </c>
      <c r="C309" s="26" t="s">
        <v>1172</v>
      </c>
      <c r="D309" s="26" t="s">
        <v>1172</v>
      </c>
      <c r="E309" s="62">
        <f>VLOOKUP(C309,Mentah!G:H,2,FALSE)</f>
        <v>20</v>
      </c>
      <c r="F309" s="62" t="s">
        <v>1538</v>
      </c>
      <c r="G309" s="25" t="str">
        <f t="shared" si="5"/>
        <v>('G0016','Ruang Kuliah Pasca Biokimia (BIK)','Ruang Kuliah Pasca Biokimia (BIK)','20','g'),</v>
      </c>
      <c r="H309" s="24" t="str">
        <f t="shared" si="6"/>
        <v>G0016</v>
      </c>
      <c r="L309" s="9"/>
    </row>
    <row r="310" spans="1:12" ht="13" x14ac:dyDescent="0.3">
      <c r="A310" s="23">
        <v>309</v>
      </c>
      <c r="B310" s="26" t="s">
        <v>2863</v>
      </c>
      <c r="C310" s="26" t="s">
        <v>968</v>
      </c>
      <c r="D310" s="27" t="s">
        <v>968</v>
      </c>
      <c r="E310" s="62">
        <f>VLOOKUP(C310,Mentah!G:H,2,FALSE)</f>
        <v>20</v>
      </c>
      <c r="F310" s="62" t="s">
        <v>1538</v>
      </c>
      <c r="G310" s="25" t="str">
        <f t="shared" si="5"/>
        <v>('G0017','RK Pasca 2 Dept GFM','RK Pasca 2 Dept GFM','20','g'),</v>
      </c>
      <c r="H310" s="24" t="str">
        <f t="shared" si="6"/>
        <v>G0017</v>
      </c>
      <c r="L310" s="9"/>
    </row>
    <row r="311" spans="1:12" ht="13" x14ac:dyDescent="0.3">
      <c r="A311" s="23">
        <v>310</v>
      </c>
      <c r="B311" s="26" t="s">
        <v>2866</v>
      </c>
      <c r="C311" s="26" t="s">
        <v>972</v>
      </c>
      <c r="D311" s="27" t="s">
        <v>972</v>
      </c>
      <c r="E311" s="62">
        <f>VLOOKUP(C311,Mentah!G:H,2,FALSE)</f>
        <v>20</v>
      </c>
      <c r="F311" s="62" t="s">
        <v>1538</v>
      </c>
      <c r="G311" s="25" t="str">
        <f t="shared" si="5"/>
        <v>('G0018','RK. Pasca 1 Dept GFM','RK. Pasca 1 Dept GFM','20','g'),</v>
      </c>
      <c r="H311" s="24" t="str">
        <f t="shared" si="6"/>
        <v>G0018</v>
      </c>
      <c r="L311" s="9"/>
    </row>
    <row r="312" spans="1:12" ht="13" x14ac:dyDescent="0.3">
      <c r="A312" s="23">
        <v>311</v>
      </c>
      <c r="B312" s="24" t="s">
        <v>3147</v>
      </c>
      <c r="C312" s="24" t="s">
        <v>4131</v>
      </c>
      <c r="D312" s="24" t="s">
        <v>4132</v>
      </c>
      <c r="E312" s="23">
        <v>0</v>
      </c>
      <c r="F312" s="23" t="s">
        <v>1540</v>
      </c>
      <c r="G312" s="25" t="str">
        <f t="shared" si="5"/>
        <v>('A00000B1','RK. Gedung Kuliah B1','Lantai 1, ESL-FEM','0','h'),</v>
      </c>
      <c r="H312" s="24" t="str">
        <f t="shared" si="6"/>
        <v>A00000B1</v>
      </c>
      <c r="L312" s="9"/>
    </row>
    <row r="313" spans="1:12" ht="13" x14ac:dyDescent="0.3">
      <c r="A313" s="23">
        <v>312</v>
      </c>
      <c r="B313" s="24" t="s">
        <v>3208</v>
      </c>
      <c r="C313" s="24" t="s">
        <v>4133</v>
      </c>
      <c r="D313" s="24" t="s">
        <v>4134</v>
      </c>
      <c r="E313" s="23">
        <v>120</v>
      </c>
      <c r="F313" s="23" t="s">
        <v>1540</v>
      </c>
      <c r="G313" s="25" t="str">
        <f t="shared" si="5"/>
        <v>('A042202A','RK. 4 AGB 202A','Wing 4 / 2 Gedung Faperta','120','h'),</v>
      </c>
      <c r="H313" s="24" t="str">
        <f t="shared" si="6"/>
        <v>A042202A</v>
      </c>
      <c r="L313" s="9"/>
    </row>
    <row r="314" spans="1:12" ht="13" x14ac:dyDescent="0.3">
      <c r="A314" s="23">
        <v>313</v>
      </c>
      <c r="B314" s="24" t="s">
        <v>3282</v>
      </c>
      <c r="C314" s="24" t="s">
        <v>4135</v>
      </c>
      <c r="D314" s="24" t="s">
        <v>4134</v>
      </c>
      <c r="E314" s="23">
        <v>60</v>
      </c>
      <c r="F314" s="23" t="s">
        <v>1540</v>
      </c>
      <c r="G314" s="25" t="str">
        <f t="shared" si="5"/>
        <v>('A042202B','RK. 4 AGB 202B','Wing 4 / 2 Gedung Faperta','60','h'),</v>
      </c>
      <c r="H314" s="24" t="str">
        <f t="shared" si="6"/>
        <v>A042202B</v>
      </c>
      <c r="L314" s="9"/>
    </row>
    <row r="315" spans="1:12" ht="13" x14ac:dyDescent="0.3">
      <c r="A315" s="23">
        <v>314</v>
      </c>
      <c r="B315" s="24" t="s">
        <v>3202</v>
      </c>
      <c r="C315" s="24" t="s">
        <v>4136</v>
      </c>
      <c r="D315" s="24" t="s">
        <v>4137</v>
      </c>
      <c r="E315" s="23">
        <v>120</v>
      </c>
      <c r="F315" s="23" t="s">
        <v>1540</v>
      </c>
      <c r="G315" s="25" t="str">
        <f t="shared" si="5"/>
        <v>('A0430301','RK. 4 AGB 301','Wing 4 / 3 Gedung Faperta','120','h'),</v>
      </c>
      <c r="H315" s="24" t="str">
        <f t="shared" si="6"/>
        <v>A0430301</v>
      </c>
      <c r="L315" s="9"/>
    </row>
    <row r="316" spans="1:12" ht="13" x14ac:dyDescent="0.3">
      <c r="A316" s="23">
        <v>315</v>
      </c>
      <c r="B316" s="24" t="s">
        <v>3121</v>
      </c>
      <c r="C316" s="24" t="s">
        <v>4138</v>
      </c>
      <c r="D316" s="24" t="s">
        <v>4139</v>
      </c>
      <c r="E316" s="23">
        <v>0</v>
      </c>
      <c r="F316" s="23" t="s">
        <v>1540</v>
      </c>
      <c r="G316" s="25" t="str">
        <f t="shared" si="5"/>
        <v>('A104401A','RK. ESL 10.401 A (Kenanga A)','Wing 10 / 4','0','h'),</v>
      </c>
      <c r="H316" s="24" t="str">
        <f t="shared" si="6"/>
        <v>A104401A</v>
      </c>
      <c r="L316" s="9"/>
    </row>
    <row r="317" spans="1:12" ht="13" x14ac:dyDescent="0.3">
      <c r="A317" s="23">
        <v>316</v>
      </c>
      <c r="B317" s="24" t="s">
        <v>3253</v>
      </c>
      <c r="C317" s="24" t="s">
        <v>4140</v>
      </c>
      <c r="D317" s="24" t="s">
        <v>4139</v>
      </c>
      <c r="E317" s="23">
        <v>0</v>
      </c>
      <c r="F317" s="23" t="s">
        <v>1540</v>
      </c>
      <c r="G317" s="25" t="str">
        <f t="shared" si="5"/>
        <v>('A104401B','RK. ESL 10 401 B (Kenanga B)','Wing 10 / 4','0','h'),</v>
      </c>
      <c r="H317" s="24" t="str">
        <f t="shared" si="6"/>
        <v>A104401B</v>
      </c>
      <c r="L317" s="9"/>
    </row>
    <row r="318" spans="1:12" ht="13" x14ac:dyDescent="0.3">
      <c r="A318" s="23">
        <v>317</v>
      </c>
      <c r="B318" s="24" t="s">
        <v>3223</v>
      </c>
      <c r="C318" s="24" t="s">
        <v>4141</v>
      </c>
      <c r="D318" s="24" t="s">
        <v>4142</v>
      </c>
      <c r="E318" s="23">
        <v>70</v>
      </c>
      <c r="F318" s="23" t="s">
        <v>1540</v>
      </c>
      <c r="G318" s="25" t="str">
        <f t="shared" si="5"/>
        <v>('A-SEMAGB','R. Seminar AGB','AGB','70','h'),</v>
      </c>
      <c r="H318" s="24" t="str">
        <f t="shared" si="6"/>
        <v>A-SEMAGB</v>
      </c>
      <c r="L318" s="9"/>
    </row>
    <row r="319" spans="1:12" ht="13" x14ac:dyDescent="0.3">
      <c r="A319" s="23">
        <v>318</v>
      </c>
      <c r="B319" s="24" t="s">
        <v>3168</v>
      </c>
      <c r="C319" s="24" t="s">
        <v>4143</v>
      </c>
      <c r="D319" s="24" t="s">
        <v>4144</v>
      </c>
      <c r="E319" s="23">
        <v>110</v>
      </c>
      <c r="F319" s="23" t="s">
        <v>1540</v>
      </c>
      <c r="G319" s="25" t="str">
        <f t="shared" si="5"/>
        <v>('H0RK0004','RK FEM 4.01-Gedung Baru FEM Lantai 4','Dekanat FEM Gedung Baru Lantai 4','110','h'),</v>
      </c>
      <c r="H319" s="24" t="str">
        <f t="shared" si="6"/>
        <v>H0RK0004</v>
      </c>
      <c r="L319" s="9"/>
    </row>
    <row r="320" spans="1:12" ht="13" x14ac:dyDescent="0.3">
      <c r="A320" s="23">
        <v>319</v>
      </c>
      <c r="B320" s="24" t="s">
        <v>3135</v>
      </c>
      <c r="C320" s="24" t="s">
        <v>4145</v>
      </c>
      <c r="D320" s="24" t="s">
        <v>4146</v>
      </c>
      <c r="E320" s="23">
        <v>0</v>
      </c>
      <c r="F320" s="23" t="s">
        <v>1540</v>
      </c>
      <c r="G320" s="25" t="str">
        <f t="shared" si="5"/>
        <v>('H0RK004','RK. Kuliah Lt.4','Dekanat FEM','0','h'),</v>
      </c>
      <c r="H320" s="24" t="str">
        <f t="shared" si="6"/>
        <v>H0RK004</v>
      </c>
      <c r="L320" s="9"/>
    </row>
    <row r="321" spans="1:12" ht="13" x14ac:dyDescent="0.3">
      <c r="A321" s="23">
        <v>320</v>
      </c>
      <c r="B321" s="24" t="s">
        <v>3145</v>
      </c>
      <c r="C321" s="24" t="s">
        <v>4147</v>
      </c>
      <c r="D321" s="24" t="s">
        <v>4148</v>
      </c>
      <c r="E321" s="23">
        <v>120</v>
      </c>
      <c r="F321" s="23" t="s">
        <v>1540</v>
      </c>
      <c r="G321" s="25" t="str">
        <f t="shared" si="5"/>
        <v>('H2RK0031','RK. FEM 3.01 Gedung Baru FEM Lantai 3','Dept. Manajemen Gedung Baru FEM Lantai 3','120','h'),</v>
      </c>
      <c r="H321" s="24" t="str">
        <f t="shared" si="6"/>
        <v>H2RK0031</v>
      </c>
      <c r="L321" s="9"/>
    </row>
    <row r="322" spans="1:12" ht="13" x14ac:dyDescent="0.3">
      <c r="A322" s="23">
        <v>321</v>
      </c>
      <c r="B322" s="24" t="s">
        <v>3143</v>
      </c>
      <c r="C322" s="24" t="s">
        <v>4149</v>
      </c>
      <c r="D322" s="24" t="s">
        <v>4150</v>
      </c>
      <c r="E322" s="23">
        <v>0</v>
      </c>
      <c r="F322" s="23" t="s">
        <v>1540</v>
      </c>
      <c r="G322" s="25" t="str">
        <f t="shared" si="5"/>
        <v>('H2RK0032','RK FEM 3.02','Dept Manajemen Gedung Baru FEM Lantai 3','0','h'),</v>
      </c>
      <c r="H322" s="24" t="str">
        <f t="shared" ref="H322:H385" si="7">B322</f>
        <v>H2RK0032</v>
      </c>
      <c r="L322" s="9"/>
    </row>
    <row r="323" spans="1:12" ht="13" x14ac:dyDescent="0.3">
      <c r="A323" s="23">
        <v>322</v>
      </c>
      <c r="B323" s="24" t="s">
        <v>3138</v>
      </c>
      <c r="C323" s="24" t="s">
        <v>4151</v>
      </c>
      <c r="D323" s="24" t="s">
        <v>4152</v>
      </c>
      <c r="E323" s="23">
        <v>120</v>
      </c>
      <c r="F323" s="23" t="s">
        <v>1540</v>
      </c>
      <c r="G323" s="25" t="str">
        <f t="shared" si="5"/>
        <v>('H4RK0031','RK FEM 3.03-Gedung Baru FEM Lantai 3','Dept ESL Gedung Baru FEM Lantai 3','120','h'),</v>
      </c>
      <c r="H323" s="24" t="str">
        <f t="shared" si="7"/>
        <v>H4RK0031</v>
      </c>
      <c r="L323" s="9"/>
    </row>
    <row r="324" spans="1:12" ht="13" x14ac:dyDescent="0.3">
      <c r="A324" s="23">
        <v>323</v>
      </c>
      <c r="B324" s="24" t="s">
        <v>3124</v>
      </c>
      <c r="C324" s="24" t="s">
        <v>4153</v>
      </c>
      <c r="D324" s="24" t="s">
        <v>4152</v>
      </c>
      <c r="E324" s="23">
        <v>0</v>
      </c>
      <c r="F324" s="23" t="s">
        <v>1540</v>
      </c>
      <c r="G324" s="25" t="str">
        <f t="shared" si="5"/>
        <v>('H4RK0032','RK FEM 3.04','Dept ESL Gedung Baru FEM Lantai 3','0','h'),</v>
      </c>
      <c r="H324" s="24" t="str">
        <f t="shared" si="7"/>
        <v>H4RK0032</v>
      </c>
      <c r="L324" s="9"/>
    </row>
    <row r="325" spans="1:12" ht="13" x14ac:dyDescent="0.3">
      <c r="A325" s="23">
        <v>324</v>
      </c>
      <c r="B325" s="24" t="s">
        <v>3177</v>
      </c>
      <c r="C325" s="24" t="s">
        <v>4154</v>
      </c>
      <c r="D325" s="24" t="s">
        <v>4155</v>
      </c>
      <c r="E325" s="23">
        <v>100</v>
      </c>
      <c r="F325" s="23" t="s">
        <v>1540</v>
      </c>
      <c r="G325" s="25" t="str">
        <f t="shared" si="5"/>
        <v>('H5RK0031','RK. EKS 3.01 Gedung Baru FEM','Departemen Ekonomi Syariah Lantai 3 Gedung FEM Baru','100','h'),</v>
      </c>
      <c r="H325" s="24" t="str">
        <f t="shared" si="7"/>
        <v>H5RK0031</v>
      </c>
      <c r="L325" s="9"/>
    </row>
    <row r="326" spans="1:12" ht="13" x14ac:dyDescent="0.3">
      <c r="A326" s="23">
        <v>325</v>
      </c>
      <c r="B326" s="24" t="s">
        <v>3118</v>
      </c>
      <c r="C326" s="24" t="s">
        <v>4156</v>
      </c>
      <c r="D326" s="24" t="s">
        <v>4155</v>
      </c>
      <c r="E326" s="23">
        <v>100</v>
      </c>
      <c r="F326" s="23" t="s">
        <v>1540</v>
      </c>
      <c r="G326" s="25" t="str">
        <f t="shared" si="5"/>
        <v>('H5RK0032','RK. EKS 3.02 Gedung Baru FEM','Departemen Ekonomi Syariah Lantai 3 Gedung FEM Baru','100','h'),</v>
      </c>
      <c r="H326" s="24" t="str">
        <f t="shared" si="7"/>
        <v>H5RK0032</v>
      </c>
      <c r="L326" s="9"/>
    </row>
    <row r="327" spans="1:12" ht="13" x14ac:dyDescent="0.3">
      <c r="A327" s="23">
        <v>326</v>
      </c>
      <c r="B327" s="24" t="s">
        <v>3258</v>
      </c>
      <c r="C327" s="24" t="s">
        <v>4157</v>
      </c>
      <c r="D327" s="24" t="s">
        <v>4158</v>
      </c>
      <c r="E327" s="23">
        <v>111</v>
      </c>
      <c r="F327" s="23" t="s">
        <v>1540</v>
      </c>
      <c r="G327" s="25" t="str">
        <f t="shared" si="5"/>
        <v>('IPBW0401','RK. IPB W 4 4.01','Wing W Lantai 4 Gedung FEM Lama','111','h'),</v>
      </c>
      <c r="H327" s="24" t="str">
        <f t="shared" si="7"/>
        <v>IPBW0401</v>
      </c>
      <c r="L327" s="9"/>
    </row>
    <row r="328" spans="1:12" ht="13" x14ac:dyDescent="0.3">
      <c r="A328" s="23">
        <v>327</v>
      </c>
      <c r="B328" s="24" t="s">
        <v>3141</v>
      </c>
      <c r="C328" s="24" t="s">
        <v>4159</v>
      </c>
      <c r="D328" s="24" t="s">
        <v>4158</v>
      </c>
      <c r="E328" s="23">
        <v>50</v>
      </c>
      <c r="F328" s="23" t="s">
        <v>1540</v>
      </c>
      <c r="G328" s="25" t="str">
        <f t="shared" si="5"/>
        <v>('IPBW0402','RK. IPB W 4 4.02','Wing W Lantai 4 Gedung FEM Lama','50','h'),</v>
      </c>
      <c r="H328" s="24" t="str">
        <f t="shared" si="7"/>
        <v>IPBW0402</v>
      </c>
      <c r="L328" s="9"/>
    </row>
    <row r="329" spans="1:12" ht="13" x14ac:dyDescent="0.3">
      <c r="A329" s="23">
        <v>328</v>
      </c>
      <c r="B329" s="24" t="s">
        <v>3127</v>
      </c>
      <c r="C329" s="24" t="s">
        <v>4160</v>
      </c>
      <c r="D329" s="24" t="s">
        <v>4158</v>
      </c>
      <c r="E329" s="23">
        <v>130</v>
      </c>
      <c r="F329" s="23" t="s">
        <v>1540</v>
      </c>
      <c r="G329" s="25" t="str">
        <f t="shared" si="5"/>
        <v>('IPBW0403','RK. IPB W 4 4.03','Wing W Lantai 4 Gedung FEM Lama','130','h'),</v>
      </c>
      <c r="H329" s="24" t="str">
        <f t="shared" si="7"/>
        <v>IPBW0403</v>
      </c>
      <c r="L329" s="9"/>
    </row>
    <row r="330" spans="1:12" ht="13" x14ac:dyDescent="0.3">
      <c r="A330" s="23">
        <v>329</v>
      </c>
      <c r="B330" s="24" t="s">
        <v>3132</v>
      </c>
      <c r="C330" s="24" t="s">
        <v>4161</v>
      </c>
      <c r="D330" s="24" t="s">
        <v>4162</v>
      </c>
      <c r="E330" s="23">
        <v>120</v>
      </c>
      <c r="F330" s="23" t="s">
        <v>1540</v>
      </c>
      <c r="G330" s="25" t="str">
        <f t="shared" si="5"/>
        <v>('IPBW10 FEM','Ruang Kuliah Eks PS PWD','Gedung FEM Lama Wing 10 Lantai 4','120','h'),</v>
      </c>
      <c r="H330" s="24" t="str">
        <f t="shared" si="7"/>
        <v>IPBW10 FEM</v>
      </c>
      <c r="L330" s="9"/>
    </row>
    <row r="331" spans="1:12" ht="13" x14ac:dyDescent="0.3">
      <c r="A331" s="23">
        <v>330</v>
      </c>
      <c r="B331" s="24" t="s">
        <v>3152</v>
      </c>
      <c r="C331" s="24" t="s">
        <v>4163</v>
      </c>
      <c r="D331" s="24" t="s">
        <v>4164</v>
      </c>
      <c r="E331" s="23">
        <v>30</v>
      </c>
      <c r="F331" s="23" t="s">
        <v>1540</v>
      </c>
      <c r="G331" s="25" t="str">
        <f t="shared" si="5"/>
        <v>('LAB-CYBER3','LAB.CYBER Jagung','Lt.2 FEM','30','h'),</v>
      </c>
      <c r="H331" s="24" t="str">
        <f t="shared" si="7"/>
        <v>LAB-CYBER3</v>
      </c>
      <c r="L331" s="9"/>
    </row>
    <row r="332" spans="1:12" ht="13" x14ac:dyDescent="0.3">
      <c r="A332" s="23">
        <v>331</v>
      </c>
      <c r="B332" s="26" t="s">
        <v>3158</v>
      </c>
      <c r="C332" s="26" t="s">
        <v>1246</v>
      </c>
      <c r="D332" s="26" t="s">
        <v>1246</v>
      </c>
      <c r="E332" s="62">
        <f>VLOOKUP(C332,Mentah!G:H,2,FALSE)</f>
        <v>60</v>
      </c>
      <c r="F332" s="62" t="s">
        <v>1540</v>
      </c>
      <c r="G332" s="25" t="str">
        <f t="shared" si="5"/>
        <v>('H0001','RK 4 AGB 402 PASCA AGB','RK 4 AGB 402 PASCA AGB','60','h'),</v>
      </c>
      <c r="H332" s="24" t="str">
        <f t="shared" si="7"/>
        <v>H0001</v>
      </c>
      <c r="L332" s="9"/>
    </row>
    <row r="333" spans="1:12" ht="13" x14ac:dyDescent="0.3">
      <c r="A333" s="23">
        <v>332</v>
      </c>
      <c r="B333" s="26" t="s">
        <v>3155</v>
      </c>
      <c r="C333" s="26" t="s">
        <v>1254</v>
      </c>
      <c r="D333" s="26" t="s">
        <v>1254</v>
      </c>
      <c r="E333" s="62">
        <f>VLOOKUP(C333,Mentah!G:H,2,FALSE)</f>
        <v>20</v>
      </c>
      <c r="F333" s="62" t="s">
        <v>1540</v>
      </c>
      <c r="G333" s="25" t="str">
        <f t="shared" si="5"/>
        <v>('H0002','RK MSA1 PASCA AGB','RK MSA1 PASCA AGB','20','h'),</v>
      </c>
      <c r="H333" s="24" t="str">
        <f t="shared" si="7"/>
        <v>H0002</v>
      </c>
      <c r="L333" s="9"/>
    </row>
    <row r="334" spans="1:12" ht="13" x14ac:dyDescent="0.3">
      <c r="A334" s="23">
        <v>333</v>
      </c>
      <c r="B334" s="26" t="s">
        <v>3161</v>
      </c>
      <c r="C334" s="26" t="s">
        <v>1211</v>
      </c>
      <c r="D334" s="27" t="s">
        <v>1211</v>
      </c>
      <c r="E334" s="62">
        <f>VLOOKUP(C334,Mentah!G:H,2,FALSE)</f>
        <v>20</v>
      </c>
      <c r="F334" s="62" t="s">
        <v>1540</v>
      </c>
      <c r="G334" s="25" t="str">
        <f t="shared" si="5"/>
        <v>('H0003','RK. FEM.3.00 (MAN)','RK. FEM.3.00 (MAN)','20','h'),</v>
      </c>
      <c r="H334" s="24" t="str">
        <f t="shared" si="7"/>
        <v>H0003</v>
      </c>
      <c r="L334" s="9"/>
    </row>
    <row r="335" spans="1:12" ht="13" x14ac:dyDescent="0.3">
      <c r="A335" s="23">
        <v>334</v>
      </c>
      <c r="B335" s="24" t="s">
        <v>4165</v>
      </c>
      <c r="C335" s="24" t="s">
        <v>4166</v>
      </c>
      <c r="D335" s="24" t="s">
        <v>4167</v>
      </c>
      <c r="E335" s="23">
        <v>175</v>
      </c>
      <c r="F335" s="23" t="s">
        <v>1542</v>
      </c>
      <c r="G335" s="25" t="str">
        <f t="shared" si="5"/>
        <v>('A000GMKL','RK. GM Lecture Hall','Departemen GM-Gedung Fema','175','i'),</v>
      </c>
      <c r="H335" s="24" t="str">
        <f t="shared" si="7"/>
        <v>A000GMKL</v>
      </c>
      <c r="L335" s="9"/>
    </row>
    <row r="336" spans="1:12" ht="13" x14ac:dyDescent="0.3">
      <c r="A336" s="23">
        <v>335</v>
      </c>
      <c r="B336" s="24" t="s">
        <v>3345</v>
      </c>
      <c r="C336" s="24" t="s">
        <v>4168</v>
      </c>
      <c r="D336" s="24" t="s">
        <v>4167</v>
      </c>
      <c r="E336" s="23">
        <v>250</v>
      </c>
      <c r="F336" s="23" t="s">
        <v>1542</v>
      </c>
      <c r="G336" s="25" t="str">
        <f t="shared" si="5"/>
        <v>('A000GMSK','Auditorium Dept GM','Departemen GM-Gedung Fema','250','i'),</v>
      </c>
      <c r="H336" s="24" t="str">
        <f t="shared" si="7"/>
        <v>A000GMSK</v>
      </c>
      <c r="L336" s="9"/>
    </row>
    <row r="337" spans="1:12" ht="13" x14ac:dyDescent="0.3">
      <c r="A337" s="23">
        <v>336</v>
      </c>
      <c r="B337" s="24" t="s">
        <v>4169</v>
      </c>
      <c r="C337" s="24" t="s">
        <v>4170</v>
      </c>
      <c r="D337" s="24" t="s">
        <v>4171</v>
      </c>
      <c r="E337" s="23">
        <v>30</v>
      </c>
      <c r="F337" s="23" t="s">
        <v>1542</v>
      </c>
      <c r="G337" s="25" t="str">
        <f t="shared" si="5"/>
        <v>('A000LABP','Lab. Pengolahan Pangan','GMSK','30','i'),</v>
      </c>
      <c r="H337" s="24" t="str">
        <f t="shared" si="7"/>
        <v>A000LABP</v>
      </c>
      <c r="L337" s="9"/>
    </row>
    <row r="338" spans="1:12" ht="13" x14ac:dyDescent="0.3">
      <c r="A338" s="23">
        <v>337</v>
      </c>
      <c r="B338" s="24" t="s">
        <v>3378</v>
      </c>
      <c r="C338" s="24" t="s">
        <v>4172</v>
      </c>
      <c r="D338" s="24" t="s">
        <v>4173</v>
      </c>
      <c r="E338" s="23">
        <v>90</v>
      </c>
      <c r="F338" s="23" t="s">
        <v>1542</v>
      </c>
      <c r="G338" s="25" t="str">
        <f t="shared" si="5"/>
        <v>('A011GM11','RK. IKK 1-1','Departemen IKK Gedung Fema','90','i'),</v>
      </c>
      <c r="H338" s="24" t="str">
        <f t="shared" si="7"/>
        <v>A011GM11</v>
      </c>
      <c r="L338" s="9"/>
    </row>
    <row r="339" spans="1:12" ht="13" x14ac:dyDescent="0.3">
      <c r="A339" s="23">
        <v>338</v>
      </c>
      <c r="B339" s="24" t="s">
        <v>4174</v>
      </c>
      <c r="C339" s="24" t="s">
        <v>4175</v>
      </c>
      <c r="D339" s="24" t="s">
        <v>4173</v>
      </c>
      <c r="E339" s="23">
        <v>75</v>
      </c>
      <c r="F339" s="23" t="s">
        <v>1542</v>
      </c>
      <c r="G339" s="25" t="str">
        <f t="shared" si="5"/>
        <v>('A011GM12','RK. IKK 1-2','Departemen IKK Gedung Fema','75','i'),</v>
      </c>
      <c r="H339" s="24" t="str">
        <f t="shared" si="7"/>
        <v>A011GM12</v>
      </c>
      <c r="L339" s="9"/>
    </row>
    <row r="340" spans="1:12" ht="13" x14ac:dyDescent="0.3">
      <c r="A340" s="23">
        <v>339</v>
      </c>
      <c r="B340" s="24" t="s">
        <v>4176</v>
      </c>
      <c r="C340" s="24" t="s">
        <v>4177</v>
      </c>
      <c r="D340" s="24" t="s">
        <v>4178</v>
      </c>
      <c r="E340" s="23">
        <v>0</v>
      </c>
      <c r="F340" s="23" t="s">
        <v>1542</v>
      </c>
      <c r="G340" s="25" t="str">
        <f t="shared" si="5"/>
        <v>('H1GIZ','Lecture Hall (LH)','Departemen Gizi Masyarakat','0','i'),</v>
      </c>
      <c r="H340" s="24" t="str">
        <f t="shared" si="7"/>
        <v>H1GIZ</v>
      </c>
      <c r="L340" s="9"/>
    </row>
    <row r="341" spans="1:12" ht="13" x14ac:dyDescent="0.3">
      <c r="A341" s="23">
        <v>340</v>
      </c>
      <c r="B341" s="24" t="s">
        <v>4179</v>
      </c>
      <c r="C341" s="24" t="s">
        <v>4180</v>
      </c>
      <c r="D341" s="24" t="s">
        <v>4181</v>
      </c>
      <c r="E341" s="23">
        <v>12</v>
      </c>
      <c r="F341" s="23" t="s">
        <v>1542</v>
      </c>
      <c r="G341" s="25" t="str">
        <f t="shared" si="5"/>
        <v>('I.201.01','R. Diskusi','Gedung FEMA W1 L2','12','i'),</v>
      </c>
      <c r="H341" s="24" t="str">
        <f t="shared" si="7"/>
        <v>I.201.01</v>
      </c>
      <c r="L341" s="9"/>
    </row>
    <row r="342" spans="1:12" ht="13" x14ac:dyDescent="0.3">
      <c r="A342" s="23">
        <v>341</v>
      </c>
      <c r="B342" s="24" t="s">
        <v>4182</v>
      </c>
      <c r="C342" s="24" t="s">
        <v>4183</v>
      </c>
      <c r="D342" s="24" t="s">
        <v>4181</v>
      </c>
      <c r="E342" s="23">
        <v>1</v>
      </c>
      <c r="F342" s="23" t="s">
        <v>1542</v>
      </c>
      <c r="G342" s="25" t="str">
        <f t="shared" si="5"/>
        <v>('I.201.A','R. Dosen SKPM (Prof. Joko Susanto)','Gedung FEMA W1 L2','1','i'),</v>
      </c>
      <c r="H342" s="24" t="str">
        <f t="shared" si="7"/>
        <v>I.201.A</v>
      </c>
      <c r="L342" s="9"/>
    </row>
    <row r="343" spans="1:12" ht="13" x14ac:dyDescent="0.3">
      <c r="A343" s="23">
        <v>342</v>
      </c>
      <c r="B343" s="24" t="s">
        <v>4184</v>
      </c>
      <c r="C343" s="24" t="s">
        <v>4185</v>
      </c>
      <c r="D343" s="24" t="s">
        <v>4181</v>
      </c>
      <c r="E343" s="23">
        <v>1</v>
      </c>
      <c r="F343" s="23" t="s">
        <v>1542</v>
      </c>
      <c r="G343" s="25" t="str">
        <f t="shared" si="5"/>
        <v>('I.201.B','R. Dosen SKPM (Prof. Pang Asngari)','Gedung FEMA W1 L2','1','i'),</v>
      </c>
      <c r="H343" s="24" t="str">
        <f t="shared" si="7"/>
        <v>I.201.B</v>
      </c>
      <c r="L343" s="9"/>
    </row>
    <row r="344" spans="1:12" ht="13" x14ac:dyDescent="0.3">
      <c r="A344" s="23">
        <v>343</v>
      </c>
      <c r="B344" s="24" t="s">
        <v>4186</v>
      </c>
      <c r="C344" s="24" t="s">
        <v>4187</v>
      </c>
      <c r="D344" s="24" t="s">
        <v>4181</v>
      </c>
      <c r="E344" s="23">
        <v>1</v>
      </c>
      <c r="F344" s="23" t="s">
        <v>1542</v>
      </c>
      <c r="G344" s="25" t="str">
        <f t="shared" si="5"/>
        <v>('I.201.C','R. Dosen SKPM (Prof. Margono Slamet)','Gedung FEMA W1 L2','1','i'),</v>
      </c>
      <c r="H344" s="24" t="str">
        <f t="shared" si="7"/>
        <v>I.201.C</v>
      </c>
      <c r="L344" s="9"/>
    </row>
    <row r="345" spans="1:12" ht="13" x14ac:dyDescent="0.3">
      <c r="A345" s="23">
        <v>344</v>
      </c>
      <c r="B345" s="24" t="s">
        <v>4188</v>
      </c>
      <c r="C345" s="24" t="s">
        <v>4189</v>
      </c>
      <c r="D345" s="24" t="s">
        <v>4181</v>
      </c>
      <c r="E345" s="23">
        <v>1</v>
      </c>
      <c r="F345" s="23" t="s">
        <v>1542</v>
      </c>
      <c r="G345" s="25" t="str">
        <f t="shared" si="5"/>
        <v>('I.201.D','R. Dosen SKPM (Dr. Soenarmo. MED)','Gedung FEMA W1 L2','1','i'),</v>
      </c>
      <c r="H345" s="24" t="str">
        <f t="shared" si="7"/>
        <v>I.201.D</v>
      </c>
      <c r="L345" s="9"/>
    </row>
    <row r="346" spans="1:12" ht="13" x14ac:dyDescent="0.3">
      <c r="A346" s="23">
        <v>345</v>
      </c>
      <c r="B346" s="24" t="s">
        <v>3392</v>
      </c>
      <c r="C346" s="24" t="s">
        <v>4190</v>
      </c>
      <c r="D346" s="24" t="s">
        <v>4191</v>
      </c>
      <c r="E346" s="23">
        <v>2</v>
      </c>
      <c r="F346" s="23" t="s">
        <v>1542</v>
      </c>
      <c r="G346" s="25" t="str">
        <f t="shared" si="5"/>
        <v>('I.301.01','R. Dosen SKPM (Dr.Titik Sumarti MC. MS)','Gedung FEMA W1 L3','2','i'),</v>
      </c>
      <c r="H346" s="24" t="str">
        <f t="shared" si="7"/>
        <v>I.301.01</v>
      </c>
      <c r="L346" s="9"/>
    </row>
    <row r="347" spans="1:12" ht="13" x14ac:dyDescent="0.3">
      <c r="A347" s="23">
        <v>346</v>
      </c>
      <c r="B347" s="24" t="s">
        <v>4192</v>
      </c>
      <c r="C347" s="24" t="s">
        <v>4193</v>
      </c>
      <c r="D347" s="24" t="s">
        <v>4191</v>
      </c>
      <c r="E347" s="23">
        <v>2</v>
      </c>
      <c r="F347" s="23" t="s">
        <v>1542</v>
      </c>
      <c r="G347" s="25" t="str">
        <f t="shared" si="5"/>
        <v>('I.301.02','R. Dosen SKPM (Dr.Ir. Soeryo Adiwibowo, Sohibuddin)','Gedung FEMA W1 L3','2','i'),</v>
      </c>
      <c r="H347" s="24" t="str">
        <f t="shared" si="7"/>
        <v>I.301.02</v>
      </c>
      <c r="L347" s="9"/>
    </row>
    <row r="348" spans="1:12" ht="13" x14ac:dyDescent="0.3">
      <c r="A348" s="23">
        <v>347</v>
      </c>
      <c r="B348" s="24" t="s">
        <v>4194</v>
      </c>
      <c r="C348" s="24" t="s">
        <v>4195</v>
      </c>
      <c r="D348" s="24" t="s">
        <v>4191</v>
      </c>
      <c r="E348" s="23">
        <v>2</v>
      </c>
      <c r="F348" s="23" t="s">
        <v>1542</v>
      </c>
      <c r="G348" s="25" t="str">
        <f t="shared" si="5"/>
        <v>('I.301.03','R. Dosen SKPM (Dr. Nurmala K Panjaitan, MS. DEA)','Gedung FEMA W1 L3','2','i'),</v>
      </c>
      <c r="H348" s="24" t="str">
        <f t="shared" si="7"/>
        <v>I.301.03</v>
      </c>
      <c r="L348" s="9"/>
    </row>
    <row r="349" spans="1:12" ht="13" x14ac:dyDescent="0.3">
      <c r="A349" s="23">
        <v>348</v>
      </c>
      <c r="B349" s="24" t="s">
        <v>3360</v>
      </c>
      <c r="C349" s="24" t="s">
        <v>4196</v>
      </c>
      <c r="D349" s="24" t="s">
        <v>4191</v>
      </c>
      <c r="E349" s="23">
        <v>2</v>
      </c>
      <c r="F349" s="23" t="s">
        <v>1542</v>
      </c>
      <c r="G349" s="25" t="str">
        <f t="shared" si="5"/>
        <v>('I.301.04','R. Dosen SKPM (Dr. Rilus A Kinseng, MA, Martua Sihaloho MS)','Gedung FEMA W1 L3','2','i'),</v>
      </c>
      <c r="H349" s="24" t="str">
        <f t="shared" si="7"/>
        <v>I.301.04</v>
      </c>
      <c r="L349" s="9"/>
    </row>
    <row r="350" spans="1:12" ht="13" x14ac:dyDescent="0.3">
      <c r="A350" s="23">
        <v>349</v>
      </c>
      <c r="B350" s="24" t="s">
        <v>4197</v>
      </c>
      <c r="C350" s="24" t="s">
        <v>4198</v>
      </c>
      <c r="D350" s="24" t="s">
        <v>4191</v>
      </c>
      <c r="E350" s="23">
        <v>2</v>
      </c>
      <c r="F350" s="23" t="s">
        <v>1542</v>
      </c>
      <c r="G350" s="25" t="str">
        <f t="shared" si="5"/>
        <v>('I.301.05','R. Dosen SKPM (Ratri Virianita, S Sos, Msi, Heru Purwandari SP, Msi)','Gedung FEMA W1 L3','2','i'),</v>
      </c>
      <c r="H350" s="24" t="str">
        <f t="shared" si="7"/>
        <v>I.301.05</v>
      </c>
      <c r="L350" s="9"/>
    </row>
    <row r="351" spans="1:12" ht="13" x14ac:dyDescent="0.3">
      <c r="A351" s="23">
        <v>350</v>
      </c>
      <c r="B351" s="24" t="s">
        <v>4199</v>
      </c>
      <c r="C351" s="24" t="s">
        <v>4200</v>
      </c>
      <c r="D351" s="24" t="s">
        <v>4191</v>
      </c>
      <c r="E351" s="23">
        <v>2</v>
      </c>
      <c r="F351" s="23" t="s">
        <v>1542</v>
      </c>
      <c r="G351" s="25" t="str">
        <f t="shared" si="5"/>
        <v>('I.301.06','R. Dosen SKPM (Dr.Ir. Satyawan Sunito, MA, Ir. Melani A Sunito, MSc)','Gedung FEMA W1 L3','2','i'),</v>
      </c>
      <c r="H351" s="24" t="str">
        <f t="shared" si="7"/>
        <v>I.301.06</v>
      </c>
      <c r="L351" s="9"/>
    </row>
    <row r="352" spans="1:12" ht="13" x14ac:dyDescent="0.3">
      <c r="A352" s="23">
        <v>351</v>
      </c>
      <c r="B352" s="24" t="s">
        <v>4201</v>
      </c>
      <c r="C352" s="24" t="s">
        <v>4202</v>
      </c>
      <c r="D352" s="24" t="s">
        <v>4191</v>
      </c>
      <c r="E352" s="23">
        <v>4</v>
      </c>
      <c r="F352" s="23" t="s">
        <v>1542</v>
      </c>
      <c r="G352" s="25" t="str">
        <f t="shared" si="5"/>
        <v>('I.301.07','R. Jurnal SKPM','Gedung FEMA W1 L3','4','i'),</v>
      </c>
      <c r="H352" s="24" t="str">
        <f t="shared" si="7"/>
        <v>I.301.07</v>
      </c>
      <c r="L352" s="9"/>
    </row>
    <row r="353" spans="1:12" ht="13" x14ac:dyDescent="0.3">
      <c r="A353" s="23">
        <v>352</v>
      </c>
      <c r="B353" s="24" t="s">
        <v>3398</v>
      </c>
      <c r="C353" s="24" t="s">
        <v>4203</v>
      </c>
      <c r="D353" s="24" t="s">
        <v>4191</v>
      </c>
      <c r="E353" s="23">
        <v>2</v>
      </c>
      <c r="F353" s="23" t="s">
        <v>1542</v>
      </c>
      <c r="G353" s="25" t="str">
        <f t="shared" si="5"/>
        <v>('I.301.08','R. Dosen SKPM (Dr. lala M Kolopaking, MS)','Gedung FEMA W1 L3','2','i'),</v>
      </c>
      <c r="H353" s="24" t="str">
        <f t="shared" si="7"/>
        <v>I.301.08</v>
      </c>
      <c r="L353" s="9"/>
    </row>
    <row r="354" spans="1:12" ht="13" x14ac:dyDescent="0.3">
      <c r="A354" s="23">
        <v>353</v>
      </c>
      <c r="B354" s="24" t="s">
        <v>4204</v>
      </c>
      <c r="C354" s="24" t="s">
        <v>4205</v>
      </c>
      <c r="D354" s="24" t="s">
        <v>4191</v>
      </c>
      <c r="E354" s="23">
        <v>2</v>
      </c>
      <c r="F354" s="23" t="s">
        <v>1542</v>
      </c>
      <c r="G354" s="25" t="str">
        <f t="shared" si="5"/>
        <v>('I.301.09','R. Dosen Purnabakti SKPM','Gedung FEMA W1 L3','2','i'),</v>
      </c>
      <c r="H354" s="24" t="str">
        <f t="shared" si="7"/>
        <v>I.301.09</v>
      </c>
      <c r="L354" s="9"/>
    </row>
    <row r="355" spans="1:12" ht="13" x14ac:dyDescent="0.3">
      <c r="A355" s="23">
        <v>354</v>
      </c>
      <c r="B355" s="24" t="s">
        <v>4206</v>
      </c>
      <c r="C355" s="24" t="s">
        <v>4207</v>
      </c>
      <c r="D355" s="24" t="s">
        <v>4191</v>
      </c>
      <c r="E355" s="23">
        <v>2</v>
      </c>
      <c r="F355" s="23" t="s">
        <v>1542</v>
      </c>
      <c r="G355" s="25" t="str">
        <f t="shared" si="5"/>
        <v>('I.301.10','R. Dosen SKPM (Prof. Dr. Ir. Endriatmo Soetarto, MA)','Gedung FEMA W1 L3','2','i'),</v>
      </c>
      <c r="H355" s="24" t="str">
        <f t="shared" si="7"/>
        <v>I.301.10</v>
      </c>
      <c r="L355" s="9"/>
    </row>
    <row r="356" spans="1:12" ht="13" x14ac:dyDescent="0.3">
      <c r="A356" s="23">
        <v>355</v>
      </c>
      <c r="B356" s="24" t="s">
        <v>4208</v>
      </c>
      <c r="C356" s="24" t="s">
        <v>4209</v>
      </c>
      <c r="D356" s="24" t="s">
        <v>4191</v>
      </c>
      <c r="E356" s="23">
        <v>2</v>
      </c>
      <c r="F356" s="23" t="s">
        <v>1542</v>
      </c>
      <c r="G356" s="25" t="str">
        <f t="shared" si="5"/>
        <v>('I.301.11','R. Dosen SKPM (Dr. Ir. Ninuk Purnaningsih, MS dan DR. Ir. Siti Amanah)','Gedung FEMA W1 L3','2','i'),</v>
      </c>
      <c r="H356" s="24" t="str">
        <f t="shared" si="7"/>
        <v>I.301.11</v>
      </c>
      <c r="L356" s="9"/>
    </row>
    <row r="357" spans="1:12" ht="13" x14ac:dyDescent="0.3">
      <c r="A357" s="23">
        <v>356</v>
      </c>
      <c r="B357" s="24" t="s">
        <v>3395</v>
      </c>
      <c r="C357" s="24" t="s">
        <v>4210</v>
      </c>
      <c r="D357" s="24" t="s">
        <v>4191</v>
      </c>
      <c r="E357" s="23">
        <v>2</v>
      </c>
      <c r="F357" s="23" t="s">
        <v>1542</v>
      </c>
      <c r="G357" s="25" t="str">
        <f t="shared" si="5"/>
        <v>('I.301.12','R. Dosen SKPM (Dr. Ir. Ekawati S Wahyuni, MA)','Gedung FEMA W1 L3','2','i'),</v>
      </c>
      <c r="H357" s="24" t="str">
        <f t="shared" si="7"/>
        <v>I.301.12</v>
      </c>
      <c r="L357" s="9"/>
    </row>
    <row r="358" spans="1:12" ht="13" x14ac:dyDescent="0.3">
      <c r="A358" s="23">
        <v>357</v>
      </c>
      <c r="B358" s="24" t="s">
        <v>4211</v>
      </c>
      <c r="C358" s="24" t="s">
        <v>4212</v>
      </c>
      <c r="D358" s="24" t="s">
        <v>4191</v>
      </c>
      <c r="E358" s="23">
        <v>2</v>
      </c>
      <c r="F358" s="23" t="s">
        <v>1542</v>
      </c>
      <c r="G358" s="25" t="str">
        <f t="shared" si="5"/>
        <v>('I.301.13','R. Dosen SKPM (Noer fauzi dan Asisten)','Gedung FEMA W1 L3','2','i'),</v>
      </c>
      <c r="H358" s="24" t="str">
        <f t="shared" si="7"/>
        <v>I.301.13</v>
      </c>
      <c r="L358" s="9"/>
    </row>
    <row r="359" spans="1:12" ht="13" x14ac:dyDescent="0.3">
      <c r="A359" s="23">
        <v>358</v>
      </c>
      <c r="B359" s="24" t="s">
        <v>3348</v>
      </c>
      <c r="C359" s="24" t="s">
        <v>4213</v>
      </c>
      <c r="D359" s="24" t="s">
        <v>4191</v>
      </c>
      <c r="E359" s="23">
        <v>2</v>
      </c>
      <c r="F359" s="23" t="s">
        <v>1542</v>
      </c>
      <c r="G359" s="25" t="str">
        <f t="shared" si="5"/>
        <v>('I.301.14','R. Dosen SKPM (Dr. Ir. Arya H Darmawan, MSc)','Gedung FEMA W1 L3','2','i'),</v>
      </c>
      <c r="H359" s="24" t="str">
        <f t="shared" si="7"/>
        <v>I.301.14</v>
      </c>
      <c r="L359" s="9"/>
    </row>
    <row r="360" spans="1:12" ht="13" x14ac:dyDescent="0.3">
      <c r="A360" s="23">
        <v>359</v>
      </c>
      <c r="B360" s="24" t="s">
        <v>4214</v>
      </c>
      <c r="C360" s="24" t="s">
        <v>4215</v>
      </c>
      <c r="D360" s="24" t="s">
        <v>4191</v>
      </c>
      <c r="E360" s="23">
        <v>6</v>
      </c>
      <c r="F360" s="23" t="s">
        <v>1542</v>
      </c>
      <c r="G360" s="25" t="str">
        <f t="shared" si="5"/>
        <v>('I.301.16','R. Dosen SKPM (Dr. Ir.Amiruddin Saleh dan Asisten)','Gedung FEMA W1 L3','6','i'),</v>
      </c>
      <c r="H360" s="24" t="str">
        <f t="shared" si="7"/>
        <v>I.301.16</v>
      </c>
      <c r="L360" s="9"/>
    </row>
    <row r="361" spans="1:12" ht="13" x14ac:dyDescent="0.3">
      <c r="A361" s="23">
        <v>360</v>
      </c>
      <c r="B361" s="24" t="s">
        <v>4216</v>
      </c>
      <c r="C361" s="24" t="s">
        <v>4217</v>
      </c>
      <c r="D361" s="24" t="s">
        <v>4191</v>
      </c>
      <c r="E361" s="23">
        <v>2</v>
      </c>
      <c r="F361" s="23" t="s">
        <v>1542</v>
      </c>
      <c r="G361" s="25" t="str">
        <f t="shared" si="5"/>
        <v>('I.301.17','R. Dosen SKPM (Ir. Hadiyanto, MS dan Ir. Sutisna Riyanto, MS)','Gedung FEMA W1 L3','2','i'),</v>
      </c>
      <c r="H361" s="24" t="str">
        <f t="shared" si="7"/>
        <v>I.301.17</v>
      </c>
      <c r="L361" s="9"/>
    </row>
    <row r="362" spans="1:12" ht="13" x14ac:dyDescent="0.3">
      <c r="A362" s="23">
        <v>361</v>
      </c>
      <c r="B362" s="24" t="s">
        <v>4218</v>
      </c>
      <c r="C362" s="24" t="s">
        <v>4219</v>
      </c>
      <c r="D362" s="24" t="s">
        <v>4191</v>
      </c>
      <c r="E362" s="23">
        <v>0</v>
      </c>
      <c r="F362" s="23" t="s">
        <v>1542</v>
      </c>
      <c r="G362" s="25" t="str">
        <f t="shared" si="5"/>
        <v>('I.301.18','R. GUDANG A','Gedung FEMA W1 L3','0','i'),</v>
      </c>
      <c r="H362" s="24" t="str">
        <f t="shared" si="7"/>
        <v>I.301.18</v>
      </c>
      <c r="L362" s="9"/>
    </row>
    <row r="363" spans="1:12" ht="13" x14ac:dyDescent="0.3">
      <c r="A363" s="23">
        <v>362</v>
      </c>
      <c r="B363" s="24" t="s">
        <v>4220</v>
      </c>
      <c r="C363" s="24" t="s">
        <v>4221</v>
      </c>
      <c r="D363" s="24" t="s">
        <v>4191</v>
      </c>
      <c r="E363" s="23">
        <v>1</v>
      </c>
      <c r="F363" s="23" t="s">
        <v>1542</v>
      </c>
      <c r="G363" s="25" t="str">
        <f t="shared" si="5"/>
        <v>('I.301.19','Toilet Pria','Gedung FEMA W1 L3','1','i'),</v>
      </c>
      <c r="H363" s="24" t="str">
        <f t="shared" si="7"/>
        <v>I.301.19</v>
      </c>
      <c r="L363" s="9"/>
    </row>
    <row r="364" spans="1:12" ht="13" x14ac:dyDescent="0.3">
      <c r="A364" s="23">
        <v>363</v>
      </c>
      <c r="B364" s="24" t="s">
        <v>4222</v>
      </c>
      <c r="C364" s="24" t="s">
        <v>4223</v>
      </c>
      <c r="D364" s="24" t="s">
        <v>4191</v>
      </c>
      <c r="E364" s="23">
        <v>1</v>
      </c>
      <c r="F364" s="23" t="s">
        <v>1542</v>
      </c>
      <c r="G364" s="25" t="str">
        <f t="shared" si="5"/>
        <v>('I.301.20','R. Toilet Wanita','Gedung FEMA W1 L3','1','i'),</v>
      </c>
      <c r="H364" s="24" t="str">
        <f t="shared" si="7"/>
        <v>I.301.20</v>
      </c>
      <c r="L364" s="9"/>
    </row>
    <row r="365" spans="1:12" ht="13" x14ac:dyDescent="0.3">
      <c r="A365" s="23">
        <v>364</v>
      </c>
      <c r="B365" s="24" t="s">
        <v>3343</v>
      </c>
      <c r="C365" s="24" t="s">
        <v>4224</v>
      </c>
      <c r="D365" s="24" t="s">
        <v>4191</v>
      </c>
      <c r="E365" s="23">
        <v>1</v>
      </c>
      <c r="F365" s="23" t="s">
        <v>1542</v>
      </c>
      <c r="G365" s="25" t="str">
        <f t="shared" si="5"/>
        <v>('I.301.21','R. Jaga','Gedung FEMA W1 L3','1','i'),</v>
      </c>
      <c r="H365" s="24" t="str">
        <f t="shared" si="7"/>
        <v>I.301.21</v>
      </c>
      <c r="L365" s="9"/>
    </row>
    <row r="366" spans="1:12" ht="13" x14ac:dyDescent="0.3">
      <c r="A366" s="23">
        <v>365</v>
      </c>
      <c r="B366" s="24" t="s">
        <v>4225</v>
      </c>
      <c r="C366" s="24" t="s">
        <v>4226</v>
      </c>
      <c r="D366" s="24" t="s">
        <v>4191</v>
      </c>
      <c r="E366" s="23">
        <v>1</v>
      </c>
      <c r="F366" s="23" t="s">
        <v>1542</v>
      </c>
      <c r="G366" s="25" t="str">
        <f t="shared" si="5"/>
        <v>('I.301.22','R. Dapur','Gedung FEMA W1 L3','1','i'),</v>
      </c>
      <c r="H366" s="24" t="str">
        <f t="shared" si="7"/>
        <v>I.301.22</v>
      </c>
      <c r="L366" s="9"/>
    </row>
    <row r="367" spans="1:12" ht="13" x14ac:dyDescent="0.3">
      <c r="A367" s="23">
        <v>366</v>
      </c>
      <c r="B367" s="24" t="s">
        <v>4227</v>
      </c>
      <c r="C367" s="24" t="s">
        <v>4228</v>
      </c>
      <c r="D367" s="24" t="s">
        <v>4191</v>
      </c>
      <c r="E367" s="23">
        <v>1</v>
      </c>
      <c r="F367" s="23" t="s">
        <v>1542</v>
      </c>
      <c r="G367" s="25" t="str">
        <f t="shared" si="5"/>
        <v>('I.301.23','R. Shaff A','Gedung FEMA W1 L3','1','i'),</v>
      </c>
      <c r="H367" s="24" t="str">
        <f t="shared" si="7"/>
        <v>I.301.23</v>
      </c>
      <c r="L367" s="9"/>
    </row>
    <row r="368" spans="1:12" ht="13" x14ac:dyDescent="0.3">
      <c r="A368" s="23">
        <v>367</v>
      </c>
      <c r="B368" s="24" t="s">
        <v>4229</v>
      </c>
      <c r="C368" s="24" t="s">
        <v>4230</v>
      </c>
      <c r="D368" s="24" t="s">
        <v>4191</v>
      </c>
      <c r="E368" s="23">
        <v>1</v>
      </c>
      <c r="F368" s="23" t="s">
        <v>1542</v>
      </c>
      <c r="G368" s="25" t="str">
        <f t="shared" si="5"/>
        <v>('I.301.24','R. Shaf B','Gedung FEMA W1 L3','1','i'),</v>
      </c>
      <c r="H368" s="24" t="str">
        <f t="shared" si="7"/>
        <v>I.301.24</v>
      </c>
      <c r="L368" s="9"/>
    </row>
    <row r="369" spans="1:12" ht="13" x14ac:dyDescent="0.3">
      <c r="A369" s="23">
        <v>368</v>
      </c>
      <c r="B369" s="24" t="s">
        <v>4231</v>
      </c>
      <c r="C369" s="24" t="s">
        <v>4232</v>
      </c>
      <c r="D369" s="24" t="s">
        <v>4191</v>
      </c>
      <c r="E369" s="23">
        <v>0</v>
      </c>
      <c r="F369" s="23" t="s">
        <v>1542</v>
      </c>
      <c r="G369" s="25" t="str">
        <f t="shared" si="5"/>
        <v>('I.301.25','Koridor','Gedung FEMA W1 L3','0','i'),</v>
      </c>
      <c r="H369" s="24" t="str">
        <f t="shared" si="7"/>
        <v>I.301.25</v>
      </c>
      <c r="L369" s="9"/>
    </row>
    <row r="370" spans="1:12" ht="13" x14ac:dyDescent="0.3">
      <c r="A370" s="23">
        <v>369</v>
      </c>
      <c r="B370" s="24" t="s">
        <v>4233</v>
      </c>
      <c r="C370" s="24" t="s">
        <v>4232</v>
      </c>
      <c r="D370" s="24" t="s">
        <v>4191</v>
      </c>
      <c r="E370" s="23">
        <v>0</v>
      </c>
      <c r="F370" s="23" t="s">
        <v>1542</v>
      </c>
      <c r="G370" s="25" t="str">
        <f t="shared" si="5"/>
        <v>('I.301.26','Koridor','Gedung FEMA W1 L3','0','i'),</v>
      </c>
      <c r="H370" s="24" t="str">
        <f t="shared" si="7"/>
        <v>I.301.26</v>
      </c>
      <c r="L370" s="9"/>
    </row>
    <row r="371" spans="1:12" ht="13" x14ac:dyDescent="0.3">
      <c r="A371" s="23">
        <v>370</v>
      </c>
      <c r="B371" s="24" t="s">
        <v>4234</v>
      </c>
      <c r="C371" s="24" t="s">
        <v>4180</v>
      </c>
      <c r="D371" s="24" t="s">
        <v>4191</v>
      </c>
      <c r="E371" s="23">
        <v>18</v>
      </c>
      <c r="F371" s="23" t="s">
        <v>1542</v>
      </c>
      <c r="G371" s="25" t="str">
        <f t="shared" si="5"/>
        <v>('I.313','R. Diskusi','Gedung FEMA W1 L3','18','i'),</v>
      </c>
      <c r="H371" s="24" t="str">
        <f t="shared" si="7"/>
        <v>I.313</v>
      </c>
      <c r="L371" s="9"/>
    </row>
    <row r="372" spans="1:12" ht="13" x14ac:dyDescent="0.3">
      <c r="A372" s="23">
        <v>371</v>
      </c>
      <c r="B372" s="24" t="s">
        <v>3375</v>
      </c>
      <c r="C372" s="24" t="s">
        <v>4235</v>
      </c>
      <c r="D372" s="24" t="s">
        <v>4236</v>
      </c>
      <c r="E372" s="23">
        <v>2</v>
      </c>
      <c r="F372" s="23" t="s">
        <v>1542</v>
      </c>
      <c r="G372" s="25" t="str">
        <f t="shared" si="5"/>
        <v>('I.401.01','R. Dosen SKPM (Dr. Ir. Djuara P Lubis, MS)','Gedung FEMA W1 L4','2','i'),</v>
      </c>
      <c r="H372" s="24" t="str">
        <f t="shared" si="7"/>
        <v>I.401.01</v>
      </c>
      <c r="L372" s="9"/>
    </row>
    <row r="373" spans="1:12" ht="13" x14ac:dyDescent="0.3">
      <c r="A373" s="23">
        <v>372</v>
      </c>
      <c r="B373" s="24" t="s">
        <v>4237</v>
      </c>
      <c r="C373" s="24" t="s">
        <v>4238</v>
      </c>
      <c r="D373" s="24" t="s">
        <v>4236</v>
      </c>
      <c r="E373" s="23">
        <v>2</v>
      </c>
      <c r="F373" s="23" t="s">
        <v>1542</v>
      </c>
      <c r="G373" s="25" t="str">
        <f t="shared" si="5"/>
        <v>('I.401.02','R. Dosen SKPM (Prof. Dr. Ir. Sumardjo, MS)','Gedung FEMA W1 L4','2','i'),</v>
      </c>
      <c r="H373" s="24" t="str">
        <f t="shared" si="7"/>
        <v>I.401.02</v>
      </c>
      <c r="L373" s="9"/>
    </row>
    <row r="374" spans="1:12" ht="13" x14ac:dyDescent="0.3">
      <c r="A374" s="23">
        <v>373</v>
      </c>
      <c r="B374" s="24" t="s">
        <v>4239</v>
      </c>
      <c r="C374" s="24" t="s">
        <v>4240</v>
      </c>
      <c r="D374" s="24" t="s">
        <v>4236</v>
      </c>
      <c r="E374" s="23">
        <v>2</v>
      </c>
      <c r="F374" s="23" t="s">
        <v>1542</v>
      </c>
      <c r="G374" s="25" t="str">
        <f t="shared" si="5"/>
        <v>('I.401.03','R. Dosen SKPM (Dr. Ir. Sarwititi, MS)','Gedung FEMA W1 L4','2','i'),</v>
      </c>
      <c r="H374" s="24" t="str">
        <f t="shared" si="7"/>
        <v>I.401.03</v>
      </c>
      <c r="L374" s="9"/>
    </row>
    <row r="375" spans="1:12" ht="13" x14ac:dyDescent="0.3">
      <c r="A375" s="23">
        <v>374</v>
      </c>
      <c r="B375" s="24" t="s">
        <v>3366</v>
      </c>
      <c r="C375" s="24" t="s">
        <v>4241</v>
      </c>
      <c r="D375" s="24" t="s">
        <v>4236</v>
      </c>
      <c r="E375" s="23">
        <v>2</v>
      </c>
      <c r="F375" s="23" t="s">
        <v>1542</v>
      </c>
      <c r="G375" s="25" t="str">
        <f t="shared" si="5"/>
        <v>('I.401.04','R. Dosen SKPM (Dr. Ir. Puji Muljono dan Dr. Hamzah)','Gedung FEMA W1 L4','2','i'),</v>
      </c>
      <c r="H375" s="24" t="str">
        <f t="shared" si="7"/>
        <v>I.401.04</v>
      </c>
      <c r="L375" s="9"/>
    </row>
    <row r="376" spans="1:12" ht="13" x14ac:dyDescent="0.3">
      <c r="A376" s="23">
        <v>375</v>
      </c>
      <c r="B376" s="24" t="s">
        <v>3363</v>
      </c>
      <c r="C376" s="24" t="s">
        <v>4242</v>
      </c>
      <c r="D376" s="24" t="s">
        <v>4236</v>
      </c>
      <c r="E376" s="23">
        <v>2</v>
      </c>
      <c r="F376" s="23" t="s">
        <v>1542</v>
      </c>
      <c r="G376" s="25" t="str">
        <f t="shared" si="5"/>
        <v>('I.401.05','R. Dosen SKPM (Dr. Ir. Saharudin, MS dan Ir. Murdianto)','Gedung FEMA W1 L4','2','i'),</v>
      </c>
      <c r="H376" s="24" t="str">
        <f t="shared" si="7"/>
        <v>I.401.05</v>
      </c>
      <c r="L376" s="9"/>
    </row>
    <row r="377" spans="1:12" ht="13" x14ac:dyDescent="0.3">
      <c r="A377" s="23">
        <v>376</v>
      </c>
      <c r="B377" s="24" t="s">
        <v>4243</v>
      </c>
      <c r="C377" s="24" t="s">
        <v>4244</v>
      </c>
      <c r="D377" s="24" t="s">
        <v>4236</v>
      </c>
      <c r="E377" s="23">
        <v>2</v>
      </c>
      <c r="F377" s="23" t="s">
        <v>1542</v>
      </c>
      <c r="G377" s="25" t="str">
        <f t="shared" si="5"/>
        <v>('I.401.06','R. Dosen SKPM (Prof. Dr. Ir. Aida V itayala Hubeis)','Gedung FEMA W1 L4','2','i'),</v>
      </c>
      <c r="H377" s="24" t="str">
        <f t="shared" si="7"/>
        <v>I.401.06</v>
      </c>
      <c r="L377" s="9"/>
    </row>
    <row r="378" spans="1:12" ht="13" x14ac:dyDescent="0.3">
      <c r="A378" s="23">
        <v>377</v>
      </c>
      <c r="B378" s="24" t="s">
        <v>3355</v>
      </c>
      <c r="C378" s="24" t="s">
        <v>4245</v>
      </c>
      <c r="D378" s="24" t="s">
        <v>4236</v>
      </c>
      <c r="E378" s="23">
        <v>2</v>
      </c>
      <c r="F378" s="23" t="s">
        <v>1542</v>
      </c>
      <c r="G378" s="25" t="str">
        <f t="shared" si="5"/>
        <v>('I.401.07','R. Dosen SKPM (Dr. Sofyan Sjaf dan Dr. Ir Dwi Sadono, MS)','Gedung FEMA W1 L4','2','i'),</v>
      </c>
      <c r="H378" s="24" t="str">
        <f t="shared" si="7"/>
        <v>I.401.07</v>
      </c>
      <c r="L378" s="9"/>
    </row>
    <row r="379" spans="1:12" ht="13" x14ac:dyDescent="0.3">
      <c r="A379" s="23">
        <v>378</v>
      </c>
      <c r="B379" s="24" t="s">
        <v>4246</v>
      </c>
      <c r="C379" s="24" t="s">
        <v>4247</v>
      </c>
      <c r="D379" s="24" t="s">
        <v>4236</v>
      </c>
      <c r="E379" s="23">
        <v>2</v>
      </c>
      <c r="F379" s="23" t="s">
        <v>1542</v>
      </c>
      <c r="G379" s="25" t="str">
        <f t="shared" si="5"/>
        <v>('I.401.08','R. Dosen SKPM (Ir. Fredian Tonny, MS dan Ir. Iman K Nawireja)','Gedung FEMA W1 L4','2','i'),</v>
      </c>
      <c r="H379" s="24" t="str">
        <f t="shared" si="7"/>
        <v>I.401.08</v>
      </c>
      <c r="L379" s="9"/>
    </row>
    <row r="380" spans="1:12" ht="13" x14ac:dyDescent="0.3">
      <c r="A380" s="23">
        <v>379</v>
      </c>
      <c r="B380" s="24" t="s">
        <v>4248</v>
      </c>
      <c r="C380" s="24" t="s">
        <v>4249</v>
      </c>
      <c r="D380" s="24" t="s">
        <v>4236</v>
      </c>
      <c r="E380" s="23">
        <v>2</v>
      </c>
      <c r="F380" s="23" t="s">
        <v>1542</v>
      </c>
      <c r="G380" s="25" t="str">
        <f t="shared" si="5"/>
        <v>('I.401.09','R. Dosen SKPM (Ir. Nuraiani W Prasodjo, Msi dan Rina Mardiana)','Gedung FEMA W1 L4','2','i'),</v>
      </c>
      <c r="H380" s="24" t="str">
        <f t="shared" si="7"/>
        <v>I.401.09</v>
      </c>
      <c r="L380" s="9"/>
    </row>
    <row r="381" spans="1:12" ht="13" x14ac:dyDescent="0.3">
      <c r="A381" s="23">
        <v>380</v>
      </c>
      <c r="B381" s="24" t="s">
        <v>3358</v>
      </c>
      <c r="C381" s="24" t="s">
        <v>4250</v>
      </c>
      <c r="D381" s="24" t="s">
        <v>4236</v>
      </c>
      <c r="E381" s="23">
        <v>2</v>
      </c>
      <c r="F381" s="23" t="s">
        <v>1542</v>
      </c>
      <c r="G381" s="25" t="str">
        <f t="shared" si="5"/>
        <v>('I.401.10','R. Dosen SKPM (Dr. Arif Satria, SP, MSi dan Dr. Ir. Ivanovich Agusta, MS)','Gedung FEMA W1 L4','2','i'),</v>
      </c>
      <c r="H381" s="24" t="str">
        <f t="shared" si="7"/>
        <v>I.401.10</v>
      </c>
      <c r="L381" s="9"/>
    </row>
    <row r="382" spans="1:12" ht="13" x14ac:dyDescent="0.3">
      <c r="A382" s="23">
        <v>381</v>
      </c>
      <c r="B382" s="24" t="s">
        <v>3372</v>
      </c>
      <c r="C382" s="24" t="s">
        <v>4251</v>
      </c>
      <c r="D382" s="24" t="s">
        <v>4236</v>
      </c>
      <c r="E382" s="23">
        <v>2</v>
      </c>
      <c r="F382" s="23" t="s">
        <v>1542</v>
      </c>
      <c r="G382" s="25" t="str">
        <f t="shared" si="5"/>
        <v>('I.401.11','R. Dosen SKPM (Ir. Anna Fatchia dan Ir. Yatri Indah Kusumastuti)','Gedung FEMA W1 L4','2','i'),</v>
      </c>
      <c r="H382" s="24" t="str">
        <f t="shared" si="7"/>
        <v>I.401.11</v>
      </c>
      <c r="L382" s="9"/>
    </row>
    <row r="383" spans="1:12" ht="13" x14ac:dyDescent="0.3">
      <c r="A383" s="23">
        <v>382</v>
      </c>
      <c r="B383" s="24" t="s">
        <v>4252</v>
      </c>
      <c r="C383" s="24" t="s">
        <v>4253</v>
      </c>
      <c r="D383" s="24" t="s">
        <v>4236</v>
      </c>
      <c r="E383" s="23">
        <v>2</v>
      </c>
      <c r="F383" s="23" t="s">
        <v>1542</v>
      </c>
      <c r="G383" s="25" t="str">
        <f t="shared" si="5"/>
        <v>('I.401.12','R. Dosen SKPM (Ir. Sugiah Mughnisyah, MS)','Gedung FEMA W1 L4','2','i'),</v>
      </c>
      <c r="H383" s="24" t="str">
        <f t="shared" si="7"/>
        <v>I.401.12</v>
      </c>
      <c r="L383" s="9"/>
    </row>
    <row r="384" spans="1:12" ht="13" x14ac:dyDescent="0.3">
      <c r="A384" s="23">
        <v>383</v>
      </c>
      <c r="B384" s="24" t="s">
        <v>4254</v>
      </c>
      <c r="C384" s="24" t="s">
        <v>4180</v>
      </c>
      <c r="D384" s="24" t="s">
        <v>4236</v>
      </c>
      <c r="E384" s="23">
        <v>18</v>
      </c>
      <c r="F384" s="23" t="s">
        <v>1542</v>
      </c>
      <c r="G384" s="25" t="str">
        <f t="shared" si="5"/>
        <v>('I.401.13','R. Diskusi','Gedung FEMA W1 L4','18','i'),</v>
      </c>
      <c r="H384" s="24" t="str">
        <f t="shared" si="7"/>
        <v>I.401.13</v>
      </c>
      <c r="L384" s="9"/>
    </row>
    <row r="385" spans="1:12" ht="13" x14ac:dyDescent="0.3">
      <c r="A385" s="23">
        <v>384</v>
      </c>
      <c r="B385" s="24" t="s">
        <v>3383</v>
      </c>
      <c r="C385" s="24" t="s">
        <v>4219</v>
      </c>
      <c r="D385" s="24" t="s">
        <v>4236</v>
      </c>
      <c r="E385" s="23">
        <v>0</v>
      </c>
      <c r="F385" s="23" t="s">
        <v>1542</v>
      </c>
      <c r="G385" s="25" t="str">
        <f t="shared" si="5"/>
        <v>('I.401.15','R. GUDANG A','Gedung FEMA W1 L4','0','i'),</v>
      </c>
      <c r="H385" s="24" t="str">
        <f t="shared" si="7"/>
        <v>I.401.15</v>
      </c>
      <c r="L385" s="9"/>
    </row>
    <row r="386" spans="1:12" ht="13" x14ac:dyDescent="0.3">
      <c r="A386" s="23">
        <v>385</v>
      </c>
      <c r="B386" s="24" t="s">
        <v>4255</v>
      </c>
      <c r="C386" s="24" t="s">
        <v>4256</v>
      </c>
      <c r="D386" s="24" t="s">
        <v>4236</v>
      </c>
      <c r="E386" s="23">
        <v>0</v>
      </c>
      <c r="F386" s="23" t="s">
        <v>1542</v>
      </c>
      <c r="G386" s="25" t="str">
        <f t="shared" si="5"/>
        <v>('I.401.16','R. GUDANG B','Gedung FEMA W1 L4','0','i'),</v>
      </c>
      <c r="H386" s="24" t="str">
        <f t="shared" ref="H386:H449" si="8">B386</f>
        <v>I.401.16</v>
      </c>
      <c r="L386" s="9"/>
    </row>
    <row r="387" spans="1:12" ht="13" x14ac:dyDescent="0.3">
      <c r="A387" s="23">
        <v>386</v>
      </c>
      <c r="B387" s="24" t="s">
        <v>4257</v>
      </c>
      <c r="C387" s="24" t="s">
        <v>4221</v>
      </c>
      <c r="D387" s="24" t="s">
        <v>4236</v>
      </c>
      <c r="E387" s="23">
        <v>1</v>
      </c>
      <c r="F387" s="23" t="s">
        <v>1542</v>
      </c>
      <c r="G387" s="25" t="str">
        <f t="shared" si="5"/>
        <v>('I.401.17','Toilet Pria','Gedung FEMA W1 L4','1','i'),</v>
      </c>
      <c r="H387" s="24" t="str">
        <f t="shared" si="8"/>
        <v>I.401.17</v>
      </c>
      <c r="L387" s="9"/>
    </row>
    <row r="388" spans="1:12" ht="13" x14ac:dyDescent="0.3">
      <c r="A388" s="23">
        <v>387</v>
      </c>
      <c r="B388" s="24" t="s">
        <v>4258</v>
      </c>
      <c r="C388" s="24" t="s">
        <v>4223</v>
      </c>
      <c r="D388" s="24" t="s">
        <v>4236</v>
      </c>
      <c r="E388" s="23">
        <v>1</v>
      </c>
      <c r="F388" s="23" t="s">
        <v>1542</v>
      </c>
      <c r="G388" s="25" t="str">
        <f t="shared" si="5"/>
        <v>('I.401.18','R. Toilet Wanita','Gedung FEMA W1 L4','1','i'),</v>
      </c>
      <c r="H388" s="24" t="str">
        <f t="shared" si="8"/>
        <v>I.401.18</v>
      </c>
      <c r="L388" s="9"/>
    </row>
    <row r="389" spans="1:12" ht="13" x14ac:dyDescent="0.3">
      <c r="A389" s="23">
        <v>388</v>
      </c>
      <c r="B389" s="24" t="s">
        <v>3353</v>
      </c>
      <c r="C389" s="24" t="s">
        <v>4259</v>
      </c>
      <c r="D389" s="24" t="s">
        <v>4236</v>
      </c>
      <c r="E389" s="23">
        <v>0</v>
      </c>
      <c r="F389" s="23" t="s">
        <v>1542</v>
      </c>
      <c r="G389" s="25" t="str">
        <f t="shared" si="5"/>
        <v>('I.401.19','Ruang Jaga','Gedung FEMA W1 L4','0','i'),</v>
      </c>
      <c r="H389" s="24" t="str">
        <f t="shared" si="8"/>
        <v>I.401.19</v>
      </c>
      <c r="L389" s="9"/>
    </row>
    <row r="390" spans="1:12" ht="13" x14ac:dyDescent="0.3">
      <c r="A390" s="23">
        <v>389</v>
      </c>
      <c r="B390" s="24" t="s">
        <v>4260</v>
      </c>
      <c r="C390" s="24" t="s">
        <v>4226</v>
      </c>
      <c r="D390" s="24" t="s">
        <v>4236</v>
      </c>
      <c r="E390" s="23">
        <v>1</v>
      </c>
      <c r="F390" s="23" t="s">
        <v>1542</v>
      </c>
      <c r="G390" s="25" t="str">
        <f t="shared" si="5"/>
        <v>('I.401.20','R. Dapur','Gedung FEMA W1 L4','1','i'),</v>
      </c>
      <c r="H390" s="24" t="str">
        <f t="shared" si="8"/>
        <v>I.401.20</v>
      </c>
      <c r="L390" s="9"/>
    </row>
    <row r="391" spans="1:12" ht="13" x14ac:dyDescent="0.3">
      <c r="A391" s="23">
        <v>390</v>
      </c>
      <c r="B391" s="24" t="s">
        <v>4261</v>
      </c>
      <c r="C391" s="24" t="s">
        <v>4228</v>
      </c>
      <c r="D391" s="24" t="s">
        <v>4236</v>
      </c>
      <c r="E391" s="23">
        <v>1</v>
      </c>
      <c r="F391" s="23" t="s">
        <v>1542</v>
      </c>
      <c r="G391" s="25" t="str">
        <f t="shared" si="5"/>
        <v>('I.401.21','R. Shaff A','Gedung FEMA W1 L4','1','i'),</v>
      </c>
      <c r="H391" s="24" t="str">
        <f t="shared" si="8"/>
        <v>I.401.21</v>
      </c>
      <c r="L391" s="9"/>
    </row>
    <row r="392" spans="1:12" ht="13" x14ac:dyDescent="0.3">
      <c r="A392" s="23">
        <v>391</v>
      </c>
      <c r="B392" s="24" t="s">
        <v>3369</v>
      </c>
      <c r="C392" s="24" t="s">
        <v>4262</v>
      </c>
      <c r="D392" s="24" t="s">
        <v>4236</v>
      </c>
      <c r="E392" s="23">
        <v>1</v>
      </c>
      <c r="F392" s="23" t="s">
        <v>1542</v>
      </c>
      <c r="G392" s="25" t="str">
        <f t="shared" si="5"/>
        <v>('I.401.22','R. Shaff B','Gedung FEMA W1 L4','1','i'),</v>
      </c>
      <c r="H392" s="24" t="str">
        <f t="shared" si="8"/>
        <v>I.401.22</v>
      </c>
      <c r="L392" s="9"/>
    </row>
    <row r="393" spans="1:12" ht="13" x14ac:dyDescent="0.3">
      <c r="A393" s="23">
        <v>392</v>
      </c>
      <c r="B393" s="24" t="s">
        <v>4263</v>
      </c>
      <c r="C393" s="24" t="s">
        <v>4232</v>
      </c>
      <c r="D393" s="24" t="s">
        <v>4236</v>
      </c>
      <c r="E393" s="23">
        <v>0</v>
      </c>
      <c r="F393" s="23" t="s">
        <v>1542</v>
      </c>
      <c r="G393" s="25" t="str">
        <f t="shared" si="5"/>
        <v>('I.401.23','Koridor','Gedung FEMA W1 L4','0','i'),</v>
      </c>
      <c r="H393" s="24" t="str">
        <f t="shared" si="8"/>
        <v>I.401.23</v>
      </c>
      <c r="L393" s="9"/>
    </row>
    <row r="394" spans="1:12" ht="13" x14ac:dyDescent="0.3">
      <c r="A394" s="23">
        <v>393</v>
      </c>
      <c r="B394" s="24" t="s">
        <v>4264</v>
      </c>
      <c r="C394" s="24" t="s">
        <v>4265</v>
      </c>
      <c r="D394" s="24" t="s">
        <v>4236</v>
      </c>
      <c r="E394" s="23">
        <v>0</v>
      </c>
      <c r="F394" s="23" t="s">
        <v>1542</v>
      </c>
      <c r="G394" s="25" t="str">
        <f t="shared" si="5"/>
        <v>('I.401.24','Koridor B','Gedung FEMA W1 L4','0','i'),</v>
      </c>
      <c r="H394" s="24" t="str">
        <f t="shared" si="8"/>
        <v>I.401.24</v>
      </c>
      <c r="L394" s="9"/>
    </row>
    <row r="395" spans="1:12" ht="13" x14ac:dyDescent="0.3">
      <c r="A395" s="23">
        <v>394</v>
      </c>
      <c r="B395" s="24" t="s">
        <v>4266</v>
      </c>
      <c r="C395" s="24" t="s">
        <v>4267</v>
      </c>
      <c r="D395" s="24" t="s">
        <v>4236</v>
      </c>
      <c r="E395" s="23">
        <v>4</v>
      </c>
      <c r="F395" s="23" t="s">
        <v>1542</v>
      </c>
      <c r="G395" s="25" t="str">
        <f t="shared" si="5"/>
        <v>('I.401.25','R. HIHASIERA','Gedung FEMA W1 L4','4','i'),</v>
      </c>
      <c r="H395" s="24" t="str">
        <f t="shared" si="8"/>
        <v>I.401.25</v>
      </c>
      <c r="L395" s="9"/>
    </row>
    <row r="396" spans="1:12" ht="13" x14ac:dyDescent="0.3">
      <c r="A396" s="23">
        <v>395</v>
      </c>
      <c r="B396" s="24" t="s">
        <v>4268</v>
      </c>
      <c r="C396" s="24" t="s">
        <v>4180</v>
      </c>
      <c r="D396" s="24" t="s">
        <v>4236</v>
      </c>
      <c r="E396" s="23">
        <v>50</v>
      </c>
      <c r="F396" s="23" t="s">
        <v>1542</v>
      </c>
      <c r="G396" s="25" t="str">
        <f t="shared" si="5"/>
        <v>('I.414','R. Diskusi','Gedung FEMA W1 L4','50','i'),</v>
      </c>
      <c r="H396" s="24" t="str">
        <f t="shared" si="8"/>
        <v>I.414</v>
      </c>
      <c r="L396" s="9"/>
    </row>
    <row r="397" spans="1:12" ht="13" x14ac:dyDescent="0.3">
      <c r="A397" s="23">
        <v>396</v>
      </c>
      <c r="B397" s="24" t="s">
        <v>4269</v>
      </c>
      <c r="C397" s="24" t="s">
        <v>4270</v>
      </c>
      <c r="D397" s="24" t="s">
        <v>4271</v>
      </c>
      <c r="E397" s="23">
        <v>30</v>
      </c>
      <c r="F397" s="23" t="s">
        <v>1542</v>
      </c>
      <c r="G397" s="25" t="str">
        <f t="shared" si="5"/>
        <v>('I.501.01','R. Kuliah Pasca 501','Gedung FEMA W1 L5','30','i'),</v>
      </c>
      <c r="H397" s="24" t="str">
        <f t="shared" si="8"/>
        <v>I.501.01</v>
      </c>
      <c r="L397" s="9"/>
    </row>
    <row r="398" spans="1:12" ht="13" x14ac:dyDescent="0.3">
      <c r="A398" s="23">
        <v>397</v>
      </c>
      <c r="B398" s="24" t="s">
        <v>4272</v>
      </c>
      <c r="C398" s="24" t="s">
        <v>4273</v>
      </c>
      <c r="D398" s="24" t="s">
        <v>4271</v>
      </c>
      <c r="E398" s="23">
        <v>13</v>
      </c>
      <c r="F398" s="23" t="s">
        <v>1542</v>
      </c>
      <c r="G398" s="25" t="str">
        <f t="shared" si="5"/>
        <v>('I.501.02','R. Ujian 502','Gedung FEMA W1 L5','13','i'),</v>
      </c>
      <c r="H398" s="24" t="str">
        <f t="shared" si="8"/>
        <v>I.501.02</v>
      </c>
      <c r="L398" s="9"/>
    </row>
    <row r="399" spans="1:12" ht="13" x14ac:dyDescent="0.3">
      <c r="A399" s="23">
        <v>398</v>
      </c>
      <c r="B399" s="24" t="s">
        <v>4274</v>
      </c>
      <c r="C399" s="24" t="s">
        <v>4275</v>
      </c>
      <c r="D399" s="24" t="s">
        <v>4271</v>
      </c>
      <c r="E399" s="23">
        <v>13</v>
      </c>
      <c r="F399" s="23" t="s">
        <v>1542</v>
      </c>
      <c r="G399" s="25" t="str">
        <f t="shared" si="5"/>
        <v>('I.501.03','R. Ujian 503','Gedung FEMA W1 L5','13','i'),</v>
      </c>
      <c r="H399" s="24" t="str">
        <f t="shared" si="8"/>
        <v>I.501.03</v>
      </c>
      <c r="L399" s="9"/>
    </row>
    <row r="400" spans="1:12" ht="13" x14ac:dyDescent="0.3">
      <c r="A400" s="23">
        <v>399</v>
      </c>
      <c r="B400" s="24" t="s">
        <v>4276</v>
      </c>
      <c r="C400" s="24" t="s">
        <v>4277</v>
      </c>
      <c r="D400" s="24" t="s">
        <v>4271</v>
      </c>
      <c r="E400" s="23">
        <v>2</v>
      </c>
      <c r="F400" s="23" t="s">
        <v>1542</v>
      </c>
      <c r="G400" s="25" t="str">
        <f t="shared" si="5"/>
        <v>('I.501.04','R. Sekretariat PS. MPM dam PS. SPD','Gedung FEMA W1 L5','2','i'),</v>
      </c>
      <c r="H400" s="24" t="str">
        <f t="shared" si="8"/>
        <v>I.501.04</v>
      </c>
      <c r="L400" s="9"/>
    </row>
    <row r="401" spans="1:12" ht="13" x14ac:dyDescent="0.3">
      <c r="A401" s="23">
        <v>400</v>
      </c>
      <c r="B401" s="24" t="s">
        <v>4278</v>
      </c>
      <c r="C401" s="24" t="s">
        <v>4279</v>
      </c>
      <c r="D401" s="24" t="s">
        <v>4271</v>
      </c>
      <c r="E401" s="23">
        <v>2</v>
      </c>
      <c r="F401" s="23" t="s">
        <v>1542</v>
      </c>
      <c r="G401" s="25" t="str">
        <f t="shared" si="5"/>
        <v>('I.501.05','R. Sekretariat Ps. PPN dan PS. KMP','Gedung FEMA W1 L5','2','i'),</v>
      </c>
      <c r="H401" s="24" t="str">
        <f t="shared" si="8"/>
        <v>I.501.05</v>
      </c>
      <c r="L401" s="9"/>
    </row>
    <row r="402" spans="1:12" ht="13" x14ac:dyDescent="0.3">
      <c r="A402" s="23">
        <v>401</v>
      </c>
      <c r="B402" s="24" t="s">
        <v>4280</v>
      </c>
      <c r="C402" s="24" t="s">
        <v>4281</v>
      </c>
      <c r="D402" s="24" t="s">
        <v>4271</v>
      </c>
      <c r="E402" s="23">
        <v>3</v>
      </c>
      <c r="F402" s="23" t="s">
        <v>1542</v>
      </c>
      <c r="G402" s="25" t="str">
        <f t="shared" si="5"/>
        <v>('I.501.06','R. Sekretariat PS. S1 KPM','Gedung FEMA W1 L5','3','i'),</v>
      </c>
      <c r="H402" s="24" t="str">
        <f t="shared" si="8"/>
        <v>I.501.06</v>
      </c>
      <c r="L402" s="9"/>
    </row>
    <row r="403" spans="1:12" ht="13" x14ac:dyDescent="0.3">
      <c r="A403" s="23">
        <v>402</v>
      </c>
      <c r="B403" s="24" t="s">
        <v>4282</v>
      </c>
      <c r="C403" s="24" t="s">
        <v>4283</v>
      </c>
      <c r="D403" s="24" t="s">
        <v>4271</v>
      </c>
      <c r="E403" s="23">
        <v>9</v>
      </c>
      <c r="F403" s="23" t="s">
        <v>1542</v>
      </c>
      <c r="G403" s="25" t="str">
        <f t="shared" si="5"/>
        <v>('I.501.07','R. Diskusi Dosen','Gedung FEMA W1 L5','9','i'),</v>
      </c>
      <c r="H403" s="24" t="str">
        <f t="shared" si="8"/>
        <v>I.501.07</v>
      </c>
      <c r="L403" s="9"/>
    </row>
    <row r="404" spans="1:12" ht="13" x14ac:dyDescent="0.3">
      <c r="A404" s="23">
        <v>403</v>
      </c>
      <c r="B404" s="24" t="s">
        <v>4284</v>
      </c>
      <c r="C404" s="24" t="s">
        <v>4285</v>
      </c>
      <c r="D404" s="24" t="s">
        <v>4271</v>
      </c>
      <c r="E404" s="23">
        <v>1</v>
      </c>
      <c r="F404" s="23" t="s">
        <v>1542</v>
      </c>
      <c r="G404" s="25" t="str">
        <f t="shared" si="5"/>
        <v>('I.501.08','R. Sekretaris II','Gedung FEMA W1 L5','1','i'),</v>
      </c>
      <c r="H404" s="24" t="str">
        <f t="shared" si="8"/>
        <v>I.501.08</v>
      </c>
      <c r="L404" s="9"/>
    </row>
    <row r="405" spans="1:12" ht="13" x14ac:dyDescent="0.3">
      <c r="A405" s="23">
        <v>404</v>
      </c>
      <c r="B405" s="24" t="s">
        <v>4286</v>
      </c>
      <c r="C405" s="24" t="s">
        <v>4287</v>
      </c>
      <c r="D405" s="24" t="s">
        <v>4271</v>
      </c>
      <c r="E405" s="23">
        <v>3</v>
      </c>
      <c r="F405" s="23" t="s">
        <v>1542</v>
      </c>
      <c r="G405" s="25" t="str">
        <f t="shared" si="5"/>
        <v>('I.501.09','R. Keuangan','Gedung FEMA W1 L5','3','i'),</v>
      </c>
      <c r="H405" s="24" t="str">
        <f t="shared" si="8"/>
        <v>I.501.09</v>
      </c>
      <c r="L405" s="9"/>
    </row>
    <row r="406" spans="1:12" ht="13" x14ac:dyDescent="0.3">
      <c r="A406" s="23">
        <v>405</v>
      </c>
      <c r="B406" s="24" t="s">
        <v>4288</v>
      </c>
      <c r="C406" s="24" t="s">
        <v>4289</v>
      </c>
      <c r="D406" s="24" t="s">
        <v>4271</v>
      </c>
      <c r="E406" s="23">
        <v>9</v>
      </c>
      <c r="F406" s="23" t="s">
        <v>1542</v>
      </c>
      <c r="G406" s="25" t="str">
        <f t="shared" si="5"/>
        <v>('I.501.10','R. Rapat Program','Gedung FEMA W1 L5','9','i'),</v>
      </c>
      <c r="H406" s="24" t="str">
        <f t="shared" si="8"/>
        <v>I.501.10</v>
      </c>
      <c r="L406" s="9"/>
    </row>
    <row r="407" spans="1:12" ht="13" x14ac:dyDescent="0.3">
      <c r="A407" s="23">
        <v>406</v>
      </c>
      <c r="B407" s="24" t="s">
        <v>4290</v>
      </c>
      <c r="C407" s="24" t="s">
        <v>4291</v>
      </c>
      <c r="D407" s="24" t="s">
        <v>4271</v>
      </c>
      <c r="E407" s="23">
        <v>1</v>
      </c>
      <c r="F407" s="23" t="s">
        <v>1542</v>
      </c>
      <c r="G407" s="25" t="str">
        <f t="shared" si="5"/>
        <v>('I.501.11','R. Sekretaris I','Gedung FEMA W1 L5','1','i'),</v>
      </c>
      <c r="H407" s="24" t="str">
        <f t="shared" si="8"/>
        <v>I.501.11</v>
      </c>
      <c r="L407" s="9"/>
    </row>
    <row r="408" spans="1:12" ht="13" x14ac:dyDescent="0.3">
      <c r="A408" s="23">
        <v>407</v>
      </c>
      <c r="B408" s="24" t="s">
        <v>4292</v>
      </c>
      <c r="C408" s="24" t="s">
        <v>4293</v>
      </c>
      <c r="D408" s="24" t="s">
        <v>4271</v>
      </c>
      <c r="E408" s="23">
        <v>9</v>
      </c>
      <c r="F408" s="23" t="s">
        <v>1542</v>
      </c>
      <c r="G408" s="25" t="str">
        <f t="shared" si="5"/>
        <v>('I.501.13','R. Ketua Departemen','Gedung FEMA W1 L5','9','i'),</v>
      </c>
      <c r="H408" s="24" t="str">
        <f t="shared" si="8"/>
        <v>I.501.13</v>
      </c>
      <c r="L408" s="9"/>
    </row>
    <row r="409" spans="1:12" ht="13" x14ac:dyDescent="0.3">
      <c r="A409" s="23">
        <v>408</v>
      </c>
      <c r="B409" s="24" t="s">
        <v>4294</v>
      </c>
      <c r="C409" s="24" t="s">
        <v>4295</v>
      </c>
      <c r="D409" s="24" t="s">
        <v>4271</v>
      </c>
      <c r="E409" s="23">
        <v>6</v>
      </c>
      <c r="F409" s="23" t="s">
        <v>1542</v>
      </c>
      <c r="G409" s="25" t="str">
        <f t="shared" si="5"/>
        <v>('I.501.141','R. Tunggu','Gedung FEMA W1 L5','6','i'),</v>
      </c>
      <c r="H409" s="24" t="str">
        <f t="shared" si="8"/>
        <v>I.501.141</v>
      </c>
      <c r="L409" s="9"/>
    </row>
    <row r="410" spans="1:12" ht="13" x14ac:dyDescent="0.3">
      <c r="A410" s="23">
        <v>409</v>
      </c>
      <c r="B410" s="24" t="s">
        <v>4296</v>
      </c>
      <c r="C410" s="24" t="s">
        <v>4297</v>
      </c>
      <c r="D410" s="24" t="s">
        <v>4271</v>
      </c>
      <c r="E410" s="23">
        <v>2</v>
      </c>
      <c r="F410" s="23" t="s">
        <v>1542</v>
      </c>
      <c r="G410" s="25" t="str">
        <f t="shared" si="5"/>
        <v>('I.501.142','R. Kepala Tata Usaha','Gedung FEMA W1 L5','2','i'),</v>
      </c>
      <c r="H410" s="24" t="str">
        <f t="shared" si="8"/>
        <v>I.501.142</v>
      </c>
      <c r="L410" s="9"/>
    </row>
    <row r="411" spans="1:12" ht="13" x14ac:dyDescent="0.3">
      <c r="A411" s="23">
        <v>410</v>
      </c>
      <c r="B411" s="24" t="s">
        <v>4298</v>
      </c>
      <c r="C411" s="24" t="s">
        <v>4299</v>
      </c>
      <c r="D411" s="24" t="s">
        <v>4271</v>
      </c>
      <c r="E411" s="23">
        <v>0</v>
      </c>
      <c r="F411" s="23" t="s">
        <v>1542</v>
      </c>
      <c r="G411" s="25" t="str">
        <f t="shared" si="5"/>
        <v>('I.501.15','Koridor dalam','Gedung FEMA W1 L5','0','i'),</v>
      </c>
      <c r="H411" s="24" t="str">
        <f t="shared" si="8"/>
        <v>I.501.15</v>
      </c>
      <c r="L411" s="9"/>
    </row>
    <row r="412" spans="1:12" ht="13" x14ac:dyDescent="0.3">
      <c r="A412" s="23">
        <v>411</v>
      </c>
      <c r="B412" s="24" t="s">
        <v>4300</v>
      </c>
      <c r="C412" s="24" t="s">
        <v>4301</v>
      </c>
      <c r="D412" s="24" t="s">
        <v>4271</v>
      </c>
      <c r="E412" s="23">
        <v>3</v>
      </c>
      <c r="F412" s="23" t="s">
        <v>1542</v>
      </c>
      <c r="G412" s="25" t="str">
        <f t="shared" si="5"/>
        <v>('I.501.16','R. Musholala Wanita','Gedung FEMA W1 L5','3','i'),</v>
      </c>
      <c r="H412" s="24" t="str">
        <f t="shared" si="8"/>
        <v>I.501.16</v>
      </c>
      <c r="L412" s="9"/>
    </row>
    <row r="413" spans="1:12" ht="13" x14ac:dyDescent="0.3">
      <c r="A413" s="23">
        <v>412</v>
      </c>
      <c r="B413" s="24" t="s">
        <v>4302</v>
      </c>
      <c r="C413" s="24" t="s">
        <v>4223</v>
      </c>
      <c r="D413" s="24" t="s">
        <v>4271</v>
      </c>
      <c r="E413" s="23">
        <v>1</v>
      </c>
      <c r="F413" s="23" t="s">
        <v>1542</v>
      </c>
      <c r="G413" s="25" t="str">
        <f t="shared" si="5"/>
        <v>('I.501.17','R. Toilet Wanita','Gedung FEMA W1 L5','1','i'),</v>
      </c>
      <c r="H413" s="24" t="str">
        <f t="shared" si="8"/>
        <v>I.501.17</v>
      </c>
      <c r="L413" s="9"/>
    </row>
    <row r="414" spans="1:12" ht="13" x14ac:dyDescent="0.3">
      <c r="A414" s="23">
        <v>413</v>
      </c>
      <c r="B414" s="24" t="s">
        <v>4303</v>
      </c>
      <c r="C414" s="24" t="s">
        <v>4226</v>
      </c>
      <c r="D414" s="24" t="s">
        <v>4271</v>
      </c>
      <c r="E414" s="23">
        <v>1</v>
      </c>
      <c r="F414" s="23" t="s">
        <v>1542</v>
      </c>
      <c r="G414" s="25" t="str">
        <f t="shared" si="5"/>
        <v>('I.501.181','R. Dapur','Gedung FEMA W1 L5','1','i'),</v>
      </c>
      <c r="H414" s="24" t="str">
        <f t="shared" si="8"/>
        <v>I.501.181</v>
      </c>
      <c r="L414" s="9"/>
    </row>
    <row r="415" spans="1:12" ht="13" x14ac:dyDescent="0.3">
      <c r="A415" s="23">
        <v>414</v>
      </c>
      <c r="B415" s="24" t="s">
        <v>4304</v>
      </c>
      <c r="C415" s="24" t="s">
        <v>4226</v>
      </c>
      <c r="D415" s="24" t="s">
        <v>4271</v>
      </c>
      <c r="E415" s="23">
        <v>1</v>
      </c>
      <c r="F415" s="23" t="s">
        <v>1542</v>
      </c>
      <c r="G415" s="25" t="str">
        <f t="shared" si="5"/>
        <v>('I.501.182','R. Dapur','Gedung FEMA W1 L5','1','i'),</v>
      </c>
      <c r="H415" s="24" t="str">
        <f t="shared" si="8"/>
        <v>I.501.182</v>
      </c>
      <c r="L415" s="9"/>
    </row>
    <row r="416" spans="1:12" ht="13" x14ac:dyDescent="0.3">
      <c r="A416" s="23">
        <v>415</v>
      </c>
      <c r="B416" s="24" t="s">
        <v>4305</v>
      </c>
      <c r="C416" s="24" t="s">
        <v>4228</v>
      </c>
      <c r="D416" s="24" t="s">
        <v>4271</v>
      </c>
      <c r="E416" s="23">
        <v>1</v>
      </c>
      <c r="F416" s="23" t="s">
        <v>1542</v>
      </c>
      <c r="G416" s="25" t="str">
        <f t="shared" si="5"/>
        <v>('I.501.19','R. Shaff A','Gedung FEMA W1 L5','1','i'),</v>
      </c>
      <c r="H416" s="24" t="str">
        <f t="shared" si="8"/>
        <v>I.501.19</v>
      </c>
      <c r="L416" s="9"/>
    </row>
    <row r="417" spans="1:12" ht="13" x14ac:dyDescent="0.3">
      <c r="A417" s="23">
        <v>416</v>
      </c>
      <c r="B417" s="24" t="s">
        <v>3386</v>
      </c>
      <c r="C417" s="24" t="s">
        <v>4262</v>
      </c>
      <c r="D417" s="24" t="s">
        <v>4271</v>
      </c>
      <c r="E417" s="23">
        <v>0</v>
      </c>
      <c r="F417" s="23" t="s">
        <v>1542</v>
      </c>
      <c r="G417" s="25" t="str">
        <f t="shared" si="5"/>
        <v>('I.501.20','R. Shaff B','Gedung FEMA W1 L5','0','i'),</v>
      </c>
      <c r="H417" s="24" t="str">
        <f t="shared" si="8"/>
        <v>I.501.20</v>
      </c>
      <c r="L417" s="9"/>
    </row>
    <row r="418" spans="1:12" ht="13" x14ac:dyDescent="0.3">
      <c r="A418" s="23">
        <v>417</v>
      </c>
      <c r="B418" s="24" t="s">
        <v>4306</v>
      </c>
      <c r="C418" s="24" t="s">
        <v>4307</v>
      </c>
      <c r="D418" s="24" t="s">
        <v>4271</v>
      </c>
      <c r="E418" s="23">
        <v>0</v>
      </c>
      <c r="F418" s="23" t="s">
        <v>1542</v>
      </c>
      <c r="G418" s="25" t="str">
        <f t="shared" si="5"/>
        <v>('I.501.21','Koridor Luar','Gedung FEMA W1 L5','0','i'),</v>
      </c>
      <c r="H418" s="24" t="str">
        <f t="shared" si="8"/>
        <v>I.501.21</v>
      </c>
      <c r="L418" s="9"/>
    </row>
    <row r="419" spans="1:12" ht="13" x14ac:dyDescent="0.3">
      <c r="A419" s="23">
        <v>418</v>
      </c>
      <c r="B419" s="24" t="s">
        <v>4308</v>
      </c>
      <c r="C419" s="24" t="s">
        <v>4309</v>
      </c>
      <c r="D419" s="24" t="s">
        <v>4271</v>
      </c>
      <c r="E419" s="23">
        <v>2</v>
      </c>
      <c r="F419" s="23" t="s">
        <v>1542</v>
      </c>
      <c r="G419" s="25" t="str">
        <f t="shared" si="5"/>
        <v>('I.501.22','R. Arsip da Sarpras','Gedung FEMA W1 L5','2','i'),</v>
      </c>
      <c r="H419" s="24" t="str">
        <f t="shared" si="8"/>
        <v>I.501.22</v>
      </c>
      <c r="L419" s="9"/>
    </row>
    <row r="420" spans="1:12" ht="13" x14ac:dyDescent="0.3">
      <c r="A420" s="23">
        <v>419</v>
      </c>
      <c r="B420" s="26" t="s">
        <v>3299</v>
      </c>
      <c r="C420" s="26" t="s">
        <v>1304</v>
      </c>
      <c r="D420" s="26" t="s">
        <v>1304</v>
      </c>
      <c r="E420" s="62">
        <f>VLOOKUP(C420,Mentah!G:H,2,FALSE)</f>
        <v>20</v>
      </c>
      <c r="F420" s="62" t="s">
        <v>1542</v>
      </c>
      <c r="G420" s="25" t="str">
        <f t="shared" si="5"/>
        <v>('I0001','RK 321 PASCA GIZI','RK 321 PASCA GIZI','20','i'),</v>
      </c>
      <c r="H420" s="24" t="str">
        <f t="shared" si="8"/>
        <v>I0001</v>
      </c>
      <c r="L420" s="9"/>
    </row>
    <row r="421" spans="1:12" ht="13" x14ac:dyDescent="0.3">
      <c r="A421" s="23">
        <v>420</v>
      </c>
      <c r="B421" s="26" t="s">
        <v>3304</v>
      </c>
      <c r="C421" s="26" t="s">
        <v>1310</v>
      </c>
      <c r="D421" s="26" t="s">
        <v>1310</v>
      </c>
      <c r="E421" s="62">
        <f>VLOOKUP(C421,Mentah!G:H,2,FALSE)</f>
        <v>20</v>
      </c>
      <c r="F421" s="62" t="s">
        <v>1542</v>
      </c>
      <c r="G421" s="25" t="str">
        <f t="shared" si="5"/>
        <v>('I0002','RK 324 PASCA GIZI','RK 324 PASCA GIZI','20','i'),</v>
      </c>
      <c r="H421" s="24" t="str">
        <f t="shared" si="8"/>
        <v>I0002</v>
      </c>
      <c r="L421" s="9"/>
    </row>
    <row r="422" spans="1:12" ht="13" x14ac:dyDescent="0.3">
      <c r="A422" s="23">
        <v>421</v>
      </c>
      <c r="B422" s="26" t="s">
        <v>3335</v>
      </c>
      <c r="C422" s="26" t="s">
        <v>1338</v>
      </c>
      <c r="D422" s="26" t="s">
        <v>1338</v>
      </c>
      <c r="E422" s="62">
        <f>VLOOKUP(C422,Mentah!G:H,2,FALSE)</f>
        <v>30</v>
      </c>
      <c r="F422" s="62" t="s">
        <v>1542</v>
      </c>
      <c r="G422" s="25" t="str">
        <f t="shared" si="5"/>
        <v>('I0003','RK. FEMA 305','RK. FEMA 305','30','i'),</v>
      </c>
      <c r="H422" s="24" t="str">
        <f t="shared" si="8"/>
        <v>I0003</v>
      </c>
      <c r="L422" s="9"/>
    </row>
    <row r="423" spans="1:12" ht="13" x14ac:dyDescent="0.3">
      <c r="A423" s="23">
        <v>422</v>
      </c>
      <c r="B423" s="26" t="s">
        <v>3350</v>
      </c>
      <c r="C423" s="26" t="s">
        <v>1373</v>
      </c>
      <c r="D423" s="26" t="s">
        <v>1373</v>
      </c>
      <c r="E423" s="62">
        <f>VLOOKUP(C423,Mentah!G:H,2,FALSE)</f>
        <v>20</v>
      </c>
      <c r="F423" s="62" t="s">
        <v>1542</v>
      </c>
      <c r="G423" s="25" t="str">
        <f t="shared" si="5"/>
        <v>('I0004','RK. KPM 510','RK. KPM 510','20','i'),</v>
      </c>
      <c r="H423" s="24" t="str">
        <f t="shared" si="8"/>
        <v>I0004</v>
      </c>
      <c r="L423" s="9"/>
    </row>
    <row r="424" spans="1:12" ht="13" x14ac:dyDescent="0.3">
      <c r="A424" s="23">
        <v>423</v>
      </c>
      <c r="B424" s="26" t="s">
        <v>3321</v>
      </c>
      <c r="C424" s="26" t="s">
        <v>1326</v>
      </c>
      <c r="D424" s="26" t="s">
        <v>1326</v>
      </c>
      <c r="E424" s="62">
        <f>VLOOKUP(C424,Mentah!G:H,2,FALSE)</f>
        <v>20</v>
      </c>
      <c r="F424" s="62" t="s">
        <v>1542</v>
      </c>
      <c r="G424" s="25" t="str">
        <f t="shared" si="5"/>
        <v>('I0005','Ruang Kuliah PS IKA','Ruang Kuliah PS IKA','20','i'),</v>
      </c>
      <c r="H424" s="24" t="str">
        <f t="shared" si="8"/>
        <v>I0005</v>
      </c>
      <c r="L424" s="9"/>
    </row>
    <row r="425" spans="1:12" ht="13" x14ac:dyDescent="0.3">
      <c r="A425" s="23">
        <v>424</v>
      </c>
      <c r="B425" s="24" t="s">
        <v>3456</v>
      </c>
      <c r="C425" s="24" t="s">
        <v>4310</v>
      </c>
      <c r="D425" s="24" t="s">
        <v>4311</v>
      </c>
      <c r="E425" s="23">
        <v>500</v>
      </c>
      <c r="F425" s="23" t="s">
        <v>1548</v>
      </c>
      <c r="G425" s="25" t="str">
        <f t="shared" si="5"/>
        <v>('E000OR01','Gymnasium01','Gymnasium','500','l'),</v>
      </c>
      <c r="H425" s="24" t="str">
        <f t="shared" si="8"/>
        <v>E000OR01</v>
      </c>
      <c r="L425" s="9"/>
    </row>
    <row r="426" spans="1:12" ht="13" x14ac:dyDescent="0.3">
      <c r="A426" s="23">
        <v>425</v>
      </c>
      <c r="B426" s="24" t="s">
        <v>3612</v>
      </c>
      <c r="C426" s="24" t="s">
        <v>4312</v>
      </c>
      <c r="D426" s="24" t="s">
        <v>4311</v>
      </c>
      <c r="E426" s="23">
        <v>300</v>
      </c>
      <c r="F426" s="23" t="s">
        <v>1548</v>
      </c>
      <c r="G426" s="25" t="str">
        <f t="shared" si="5"/>
        <v>('E000OR02','Gymnasium02','Gymnasium','300','l'),</v>
      </c>
      <c r="H426" s="24" t="str">
        <f t="shared" si="8"/>
        <v>E000OR02</v>
      </c>
      <c r="L426" s="9"/>
    </row>
    <row r="427" spans="1:12" ht="13" x14ac:dyDescent="0.3">
      <c r="A427" s="23">
        <v>426</v>
      </c>
      <c r="B427" s="24" t="s">
        <v>3500</v>
      </c>
      <c r="C427" s="24" t="s">
        <v>4313</v>
      </c>
      <c r="D427" s="24" t="s">
        <v>4311</v>
      </c>
      <c r="E427" s="23">
        <v>300</v>
      </c>
      <c r="F427" s="23" t="s">
        <v>1548</v>
      </c>
      <c r="G427" s="25" t="str">
        <f t="shared" si="5"/>
        <v>('E000OR03','Gymnasium03','Gymnasium','300','l'),</v>
      </c>
      <c r="H427" s="24" t="str">
        <f t="shared" si="8"/>
        <v>E000OR03</v>
      </c>
      <c r="L427" s="9"/>
    </row>
    <row r="428" spans="1:12" ht="13" x14ac:dyDescent="0.3">
      <c r="A428" s="23">
        <v>427</v>
      </c>
      <c r="B428" s="24" t="s">
        <v>3459</v>
      </c>
      <c r="C428" s="24" t="s">
        <v>4314</v>
      </c>
      <c r="D428" s="24" t="s">
        <v>4311</v>
      </c>
      <c r="E428" s="23">
        <v>300</v>
      </c>
      <c r="F428" s="23" t="s">
        <v>1548</v>
      </c>
      <c r="G428" s="25" t="str">
        <f t="shared" si="5"/>
        <v>('E000OR04','Gymnasium04','Gymnasium','300','l'),</v>
      </c>
      <c r="H428" s="24" t="str">
        <f t="shared" si="8"/>
        <v>E000OR04</v>
      </c>
      <c r="L428" s="9"/>
    </row>
    <row r="429" spans="1:12" ht="13" x14ac:dyDescent="0.3">
      <c r="A429" s="23">
        <v>428</v>
      </c>
      <c r="B429" s="24" t="s">
        <v>4315</v>
      </c>
      <c r="C429" s="24" t="s">
        <v>4316</v>
      </c>
      <c r="D429" s="24" t="s">
        <v>4311</v>
      </c>
      <c r="E429" s="23">
        <v>300</v>
      </c>
      <c r="F429" s="23" t="s">
        <v>1548</v>
      </c>
      <c r="G429" s="25" t="str">
        <f t="shared" si="5"/>
        <v>('E000OR05','Gymnasium05','Gymnasium','300','l'),</v>
      </c>
      <c r="H429" s="24" t="str">
        <f t="shared" si="8"/>
        <v>E000OR05</v>
      </c>
      <c r="L429" s="9"/>
    </row>
    <row r="430" spans="1:12" ht="13" x14ac:dyDescent="0.3">
      <c r="A430" s="23">
        <v>429</v>
      </c>
      <c r="B430" s="24" t="s">
        <v>4317</v>
      </c>
      <c r="C430" s="24" t="s">
        <v>4318</v>
      </c>
      <c r="D430" s="24" t="s">
        <v>4311</v>
      </c>
      <c r="E430" s="23">
        <v>300</v>
      </c>
      <c r="F430" s="23" t="s">
        <v>1548</v>
      </c>
      <c r="G430" s="25" t="str">
        <f t="shared" si="5"/>
        <v>('E000OR06','Gymnasium06','Gymnasium','300','l'),</v>
      </c>
      <c r="H430" s="24" t="str">
        <f t="shared" si="8"/>
        <v>E000OR06</v>
      </c>
      <c r="L430" s="9"/>
    </row>
    <row r="431" spans="1:12" ht="13" x14ac:dyDescent="0.3">
      <c r="A431" s="23">
        <v>430</v>
      </c>
      <c r="B431" s="24" t="s">
        <v>4319</v>
      </c>
      <c r="C431" s="24" t="s">
        <v>4320</v>
      </c>
      <c r="D431" s="24" t="s">
        <v>4311</v>
      </c>
      <c r="E431" s="23">
        <v>300</v>
      </c>
      <c r="F431" s="23" t="s">
        <v>1548</v>
      </c>
      <c r="G431" s="25" t="str">
        <f t="shared" si="5"/>
        <v>('E000OR07','Gymnasium07','Gymnasium','300','l'),</v>
      </c>
      <c r="H431" s="24" t="str">
        <f t="shared" si="8"/>
        <v>E000OR07</v>
      </c>
      <c r="L431" s="9"/>
    </row>
    <row r="432" spans="1:12" ht="13" x14ac:dyDescent="0.3">
      <c r="A432" s="23">
        <v>431</v>
      </c>
      <c r="B432" s="24" t="s">
        <v>3646</v>
      </c>
      <c r="C432" s="24" t="s">
        <v>4321</v>
      </c>
      <c r="D432" s="24" t="s">
        <v>4311</v>
      </c>
      <c r="E432" s="23">
        <v>300</v>
      </c>
      <c r="F432" s="23" t="s">
        <v>1548</v>
      </c>
      <c r="G432" s="25" t="str">
        <f t="shared" si="5"/>
        <v>('E000OR08','Gymnasium08','Gymnasium','300','l'),</v>
      </c>
      <c r="H432" s="24" t="str">
        <f t="shared" si="8"/>
        <v>E000OR08</v>
      </c>
      <c r="L432" s="9"/>
    </row>
    <row r="433" spans="1:12" ht="13" x14ac:dyDescent="0.3">
      <c r="A433" s="23">
        <v>432</v>
      </c>
      <c r="B433" s="24" t="s">
        <v>4322</v>
      </c>
      <c r="C433" s="24" t="s">
        <v>4323</v>
      </c>
      <c r="D433" s="24" t="s">
        <v>4311</v>
      </c>
      <c r="E433" s="23">
        <v>300</v>
      </c>
      <c r="F433" s="23" t="s">
        <v>1548</v>
      </c>
      <c r="G433" s="25" t="str">
        <f t="shared" si="5"/>
        <v>('E000OR09','Gymnasium09','Gymnasium','300','l'),</v>
      </c>
      <c r="H433" s="24" t="str">
        <f t="shared" si="8"/>
        <v>E000OR09</v>
      </c>
      <c r="L433" s="9"/>
    </row>
    <row r="434" spans="1:12" ht="13" x14ac:dyDescent="0.3">
      <c r="A434" s="23">
        <v>433</v>
      </c>
      <c r="B434" s="24" t="s">
        <v>4324</v>
      </c>
      <c r="C434" s="24" t="s">
        <v>4325</v>
      </c>
      <c r="D434" s="24" t="s">
        <v>4311</v>
      </c>
      <c r="E434" s="23">
        <v>300</v>
      </c>
      <c r="F434" s="23" t="s">
        <v>1548</v>
      </c>
      <c r="G434" s="25" t="str">
        <f t="shared" si="5"/>
        <v>('E000OR10','Gymnasium10','Gymnasium','300','l'),</v>
      </c>
      <c r="H434" s="24" t="str">
        <f t="shared" si="8"/>
        <v>E000OR10</v>
      </c>
      <c r="L434" s="9"/>
    </row>
    <row r="435" spans="1:12" ht="13" x14ac:dyDescent="0.3">
      <c r="A435" s="23">
        <v>434</v>
      </c>
      <c r="B435" s="24" t="s">
        <v>3662</v>
      </c>
      <c r="C435" s="24" t="s">
        <v>4326</v>
      </c>
      <c r="D435" s="24" t="s">
        <v>4311</v>
      </c>
      <c r="E435" s="23">
        <v>300</v>
      </c>
      <c r="F435" s="23" t="s">
        <v>1548</v>
      </c>
      <c r="G435" s="25" t="str">
        <f t="shared" si="5"/>
        <v>('E000OR11','Gymnasium11','Gymnasium','300','l'),</v>
      </c>
      <c r="H435" s="24" t="str">
        <f t="shared" si="8"/>
        <v>E000OR11</v>
      </c>
      <c r="L435" s="9"/>
    </row>
    <row r="436" spans="1:12" ht="13" x14ac:dyDescent="0.3">
      <c r="A436" s="23">
        <v>435</v>
      </c>
      <c r="B436" s="24" t="s">
        <v>3417</v>
      </c>
      <c r="C436" s="24" t="s">
        <v>4327</v>
      </c>
      <c r="D436" s="24" t="s">
        <v>4311</v>
      </c>
      <c r="E436" s="23">
        <v>300</v>
      </c>
      <c r="F436" s="23" t="s">
        <v>1548</v>
      </c>
      <c r="G436" s="25" t="str">
        <f t="shared" si="5"/>
        <v>('E000OR12','Gymnasium12','Gymnasium','300','l'),</v>
      </c>
      <c r="H436" s="24" t="str">
        <f t="shared" si="8"/>
        <v>E000OR12</v>
      </c>
      <c r="L436" s="9"/>
    </row>
    <row r="437" spans="1:12" ht="13" x14ac:dyDescent="0.3">
      <c r="A437" s="23">
        <v>436</v>
      </c>
      <c r="B437" s="24" t="s">
        <v>3438</v>
      </c>
      <c r="C437" s="24" t="s">
        <v>4328</v>
      </c>
      <c r="D437" s="24" t="s">
        <v>4311</v>
      </c>
      <c r="E437" s="23">
        <v>300</v>
      </c>
      <c r="F437" s="23" t="s">
        <v>1548</v>
      </c>
      <c r="G437" s="25" t="str">
        <f t="shared" si="5"/>
        <v>('E000OR13','Gymnasium13','Gymnasium','300','l'),</v>
      </c>
      <c r="H437" s="24" t="str">
        <f t="shared" si="8"/>
        <v>E000OR13</v>
      </c>
      <c r="L437" s="9"/>
    </row>
    <row r="438" spans="1:12" ht="13" x14ac:dyDescent="0.3">
      <c r="A438" s="23">
        <v>437</v>
      </c>
      <c r="B438" s="24" t="s">
        <v>4329</v>
      </c>
      <c r="C438" s="24" t="s">
        <v>4330</v>
      </c>
      <c r="D438" s="24" t="s">
        <v>4311</v>
      </c>
      <c r="E438" s="23">
        <v>300</v>
      </c>
      <c r="F438" s="23" t="s">
        <v>1548</v>
      </c>
      <c r="G438" s="25" t="str">
        <f t="shared" si="5"/>
        <v>('E000OR14','Gymnasium14','Gymnasium','300','l'),</v>
      </c>
      <c r="H438" s="24" t="str">
        <f t="shared" si="8"/>
        <v>E000OR14</v>
      </c>
      <c r="L438" s="9"/>
    </row>
    <row r="439" spans="1:12" ht="13" x14ac:dyDescent="0.3">
      <c r="A439" s="23">
        <v>438</v>
      </c>
      <c r="B439" s="24" t="s">
        <v>4331</v>
      </c>
      <c r="C439" s="24" t="s">
        <v>4332</v>
      </c>
      <c r="D439" s="24" t="s">
        <v>4311</v>
      </c>
      <c r="E439" s="23">
        <v>300</v>
      </c>
      <c r="F439" s="23" t="s">
        <v>1548</v>
      </c>
      <c r="G439" s="25" t="str">
        <f t="shared" si="5"/>
        <v>('E000OR15','Gymnasium15','Gymnasium','300','l'),</v>
      </c>
      <c r="H439" s="24" t="str">
        <f t="shared" si="8"/>
        <v>E000OR15</v>
      </c>
      <c r="L439" s="9"/>
    </row>
    <row r="440" spans="1:12" ht="13" x14ac:dyDescent="0.3">
      <c r="A440" s="23">
        <v>439</v>
      </c>
      <c r="B440" s="24" t="s">
        <v>3560</v>
      </c>
      <c r="C440" s="24" t="s">
        <v>4333</v>
      </c>
      <c r="D440" s="24" t="s">
        <v>4311</v>
      </c>
      <c r="E440" s="23">
        <v>300</v>
      </c>
      <c r="F440" s="23" t="s">
        <v>1548</v>
      </c>
      <c r="G440" s="25" t="str">
        <f t="shared" si="5"/>
        <v>('E000OR16','Gymnasium16','Gymnasium','300','l'),</v>
      </c>
      <c r="H440" s="24" t="str">
        <f t="shared" si="8"/>
        <v>E000OR16</v>
      </c>
      <c r="L440" s="9"/>
    </row>
    <row r="441" spans="1:12" ht="13" x14ac:dyDescent="0.3">
      <c r="A441" s="23">
        <v>440</v>
      </c>
      <c r="B441" s="24" t="s">
        <v>3473</v>
      </c>
      <c r="C441" s="24" t="s">
        <v>4334</v>
      </c>
      <c r="D441" s="24" t="s">
        <v>4311</v>
      </c>
      <c r="E441" s="23">
        <v>300</v>
      </c>
      <c r="F441" s="23" t="s">
        <v>1548</v>
      </c>
      <c r="G441" s="25" t="str">
        <f t="shared" si="5"/>
        <v>('E000OR17','Gymnasium17','Gymnasium','300','l'),</v>
      </c>
      <c r="H441" s="24" t="str">
        <f t="shared" si="8"/>
        <v>E000OR17</v>
      </c>
      <c r="L441" s="9"/>
    </row>
    <row r="442" spans="1:12" ht="13" x14ac:dyDescent="0.3">
      <c r="A442" s="23">
        <v>441</v>
      </c>
      <c r="B442" s="24" t="s">
        <v>3448</v>
      </c>
      <c r="C442" s="24" t="s">
        <v>4335</v>
      </c>
      <c r="D442" s="24" t="s">
        <v>4311</v>
      </c>
      <c r="E442" s="23">
        <v>300</v>
      </c>
      <c r="F442" s="23" t="s">
        <v>1548</v>
      </c>
      <c r="G442" s="25" t="str">
        <f t="shared" si="5"/>
        <v>('E000OR18','Gymnasium18','Gymnasium','300','l'),</v>
      </c>
      <c r="H442" s="24" t="str">
        <f t="shared" si="8"/>
        <v>E000OR18</v>
      </c>
      <c r="L442" s="9"/>
    </row>
    <row r="443" spans="1:12" ht="13" x14ac:dyDescent="0.3">
      <c r="A443" s="23">
        <v>442</v>
      </c>
      <c r="B443" s="24" t="s">
        <v>3595</v>
      </c>
      <c r="C443" s="24" t="s">
        <v>4336</v>
      </c>
      <c r="D443" s="24" t="s">
        <v>4311</v>
      </c>
      <c r="E443" s="23">
        <v>300</v>
      </c>
      <c r="F443" s="23" t="s">
        <v>1548</v>
      </c>
      <c r="G443" s="25" t="str">
        <f t="shared" si="5"/>
        <v>('E000OR19','Gymnasium19','Gymnasium','300','l'),</v>
      </c>
      <c r="H443" s="24" t="str">
        <f t="shared" si="8"/>
        <v>E000OR19</v>
      </c>
      <c r="L443" s="9"/>
    </row>
    <row r="444" spans="1:12" ht="13" x14ac:dyDescent="0.3">
      <c r="A444" s="23">
        <v>443</v>
      </c>
      <c r="B444" s="24" t="s">
        <v>4337</v>
      </c>
      <c r="C444" s="24" t="s">
        <v>4338</v>
      </c>
      <c r="D444" s="24" t="s">
        <v>4311</v>
      </c>
      <c r="E444" s="23">
        <v>300</v>
      </c>
      <c r="F444" s="23" t="s">
        <v>1548</v>
      </c>
      <c r="G444" s="25" t="str">
        <f t="shared" si="5"/>
        <v>('E000OR20','Gymnasium20','Gymnasium','300','l'),</v>
      </c>
      <c r="H444" s="24" t="str">
        <f t="shared" si="8"/>
        <v>E000OR20</v>
      </c>
      <c r="L444" s="9"/>
    </row>
    <row r="445" spans="1:12" ht="13" x14ac:dyDescent="0.3">
      <c r="A445" s="23">
        <v>444</v>
      </c>
      <c r="B445" s="24" t="s">
        <v>3518</v>
      </c>
      <c r="C445" s="24" t="s">
        <v>4339</v>
      </c>
      <c r="D445" s="24" t="s">
        <v>4311</v>
      </c>
      <c r="E445" s="23">
        <v>300</v>
      </c>
      <c r="F445" s="23" t="s">
        <v>1548</v>
      </c>
      <c r="G445" s="25" t="str">
        <f t="shared" si="5"/>
        <v>('E000OR21','Gymnasium21','Gymnasium','300','l'),</v>
      </c>
      <c r="H445" s="24" t="str">
        <f t="shared" si="8"/>
        <v>E000OR21</v>
      </c>
      <c r="L445" s="9"/>
    </row>
    <row r="446" spans="1:12" ht="13" x14ac:dyDescent="0.3">
      <c r="A446" s="23">
        <v>445</v>
      </c>
      <c r="B446" s="24" t="s">
        <v>4340</v>
      </c>
      <c r="C446" s="24" t="s">
        <v>4341</v>
      </c>
      <c r="D446" s="24" t="s">
        <v>4311</v>
      </c>
      <c r="E446" s="23">
        <v>300</v>
      </c>
      <c r="F446" s="23" t="s">
        <v>1548</v>
      </c>
      <c r="G446" s="25" t="str">
        <f t="shared" si="5"/>
        <v>('E000OR22','Gymnasium22','Gymnasium','300','l'),</v>
      </c>
      <c r="H446" s="24" t="str">
        <f t="shared" si="8"/>
        <v>E000OR22</v>
      </c>
      <c r="L446" s="9"/>
    </row>
    <row r="447" spans="1:12" ht="13" x14ac:dyDescent="0.3">
      <c r="A447" s="23">
        <v>446</v>
      </c>
      <c r="B447" s="24" t="s">
        <v>4342</v>
      </c>
      <c r="C447" s="24" t="s">
        <v>4343</v>
      </c>
      <c r="D447" s="24" t="s">
        <v>4311</v>
      </c>
      <c r="E447" s="23">
        <v>300</v>
      </c>
      <c r="F447" s="23" t="s">
        <v>1548</v>
      </c>
      <c r="G447" s="25" t="str">
        <f t="shared" si="5"/>
        <v>('E000OR23','Gymnasium23','Gymnasium','300','l'),</v>
      </c>
      <c r="H447" s="24" t="str">
        <f t="shared" si="8"/>
        <v>E000OR23</v>
      </c>
      <c r="L447" s="9"/>
    </row>
    <row r="448" spans="1:12" ht="13" x14ac:dyDescent="0.3">
      <c r="A448" s="23">
        <v>447</v>
      </c>
      <c r="B448" s="24" t="s">
        <v>3453</v>
      </c>
      <c r="C448" s="24" t="s">
        <v>4344</v>
      </c>
      <c r="D448" s="24" t="s">
        <v>4311</v>
      </c>
      <c r="E448" s="23">
        <v>300</v>
      </c>
      <c r="F448" s="23" t="s">
        <v>1548</v>
      </c>
      <c r="G448" s="25" t="str">
        <f t="shared" si="5"/>
        <v>('E000OR24','Gymnasium24','Gymnasium','300','l'),</v>
      </c>
      <c r="H448" s="24" t="str">
        <f t="shared" si="8"/>
        <v>E000OR24</v>
      </c>
      <c r="L448" s="9"/>
    </row>
    <row r="449" spans="1:12" ht="13" x14ac:dyDescent="0.3">
      <c r="A449" s="23">
        <v>448</v>
      </c>
      <c r="B449" s="24" t="s">
        <v>3450</v>
      </c>
      <c r="C449" s="24" t="s">
        <v>4345</v>
      </c>
      <c r="D449" s="24" t="s">
        <v>4311</v>
      </c>
      <c r="E449" s="23">
        <v>300</v>
      </c>
      <c r="F449" s="23" t="s">
        <v>1548</v>
      </c>
      <c r="G449" s="25" t="str">
        <f t="shared" si="5"/>
        <v>('E000OR25','Gymnasium25','Gymnasium','300','l'),</v>
      </c>
      <c r="H449" s="24" t="str">
        <f t="shared" si="8"/>
        <v>E000OR25</v>
      </c>
      <c r="L449" s="9"/>
    </row>
    <row r="450" spans="1:12" ht="13" x14ac:dyDescent="0.3">
      <c r="A450" s="23">
        <v>449</v>
      </c>
      <c r="B450" s="24" t="s">
        <v>3409</v>
      </c>
      <c r="C450" s="24" t="s">
        <v>4346</v>
      </c>
      <c r="D450" s="24" t="s">
        <v>4311</v>
      </c>
      <c r="E450" s="23">
        <v>300</v>
      </c>
      <c r="F450" s="23" t="s">
        <v>1548</v>
      </c>
      <c r="G450" s="25" t="str">
        <f t="shared" si="5"/>
        <v>('E000OR26','Gymnasium26','Gymnasium','300','l'),</v>
      </c>
      <c r="H450" s="24" t="str">
        <f t="shared" ref="H450:H513" si="9">B450</f>
        <v>E000OR26</v>
      </c>
      <c r="L450" s="9"/>
    </row>
    <row r="451" spans="1:12" ht="13" x14ac:dyDescent="0.3">
      <c r="A451" s="23">
        <v>450</v>
      </c>
      <c r="B451" s="24" t="s">
        <v>3498</v>
      </c>
      <c r="C451" s="24" t="s">
        <v>4347</v>
      </c>
      <c r="D451" s="24" t="s">
        <v>4311</v>
      </c>
      <c r="E451" s="23">
        <v>300</v>
      </c>
      <c r="F451" s="23" t="s">
        <v>1548</v>
      </c>
      <c r="G451" s="25" t="str">
        <f t="shared" si="5"/>
        <v>('E000OR27','Gymnasium27','Gymnasium','300','l'),</v>
      </c>
      <c r="H451" s="24" t="str">
        <f t="shared" si="9"/>
        <v>E000OR27</v>
      </c>
      <c r="L451" s="9"/>
    </row>
    <row r="452" spans="1:12" ht="13" x14ac:dyDescent="0.3">
      <c r="A452" s="23">
        <v>451</v>
      </c>
      <c r="B452" s="24" t="s">
        <v>3617</v>
      </c>
      <c r="C452" s="24" t="s">
        <v>4348</v>
      </c>
      <c r="D452" s="24" t="s">
        <v>4311</v>
      </c>
      <c r="E452" s="23">
        <v>300</v>
      </c>
      <c r="F452" s="23" t="s">
        <v>1548</v>
      </c>
      <c r="G452" s="25" t="str">
        <f t="shared" si="5"/>
        <v>('E000OR28','Gymnasium28','Gymnasium','300','l'),</v>
      </c>
      <c r="H452" s="24" t="str">
        <f t="shared" si="9"/>
        <v>E000OR28</v>
      </c>
      <c r="L452" s="9"/>
    </row>
    <row r="453" spans="1:12" ht="13" x14ac:dyDescent="0.3">
      <c r="A453" s="23">
        <v>452</v>
      </c>
      <c r="B453" s="24" t="s">
        <v>3490</v>
      </c>
      <c r="C453" s="24" t="s">
        <v>4349</v>
      </c>
      <c r="D453" s="24" t="s">
        <v>4311</v>
      </c>
      <c r="E453" s="23">
        <v>300</v>
      </c>
      <c r="F453" s="23" t="s">
        <v>1548</v>
      </c>
      <c r="G453" s="25" t="str">
        <f t="shared" si="5"/>
        <v>('E000OR29','Gymnasium29','Gymnasium','300','l'),</v>
      </c>
      <c r="H453" s="24" t="str">
        <f t="shared" si="9"/>
        <v>E000OR29</v>
      </c>
      <c r="L453" s="9"/>
    </row>
    <row r="454" spans="1:12" ht="13" x14ac:dyDescent="0.3">
      <c r="A454" s="23">
        <v>453</v>
      </c>
      <c r="B454" s="24" t="s">
        <v>4350</v>
      </c>
      <c r="C454" s="24" t="s">
        <v>4351</v>
      </c>
      <c r="D454" s="24" t="s">
        <v>4311</v>
      </c>
      <c r="E454" s="23">
        <v>300</v>
      </c>
      <c r="F454" s="23" t="s">
        <v>1548</v>
      </c>
      <c r="G454" s="25" t="str">
        <f t="shared" si="5"/>
        <v>('E000OR30','Gymnasium30','Gymnasium','300','l'),</v>
      </c>
      <c r="H454" s="24" t="str">
        <f t="shared" si="9"/>
        <v>E000OR30</v>
      </c>
      <c r="L454" s="9"/>
    </row>
    <row r="455" spans="1:12" ht="13" x14ac:dyDescent="0.3">
      <c r="A455" s="23">
        <v>454</v>
      </c>
      <c r="B455" s="24" t="s">
        <v>3529</v>
      </c>
      <c r="C455" s="24" t="s">
        <v>4352</v>
      </c>
      <c r="D455" s="24" t="s">
        <v>4353</v>
      </c>
      <c r="E455" s="23">
        <v>500</v>
      </c>
      <c r="F455" s="23" t="s">
        <v>1548</v>
      </c>
      <c r="G455" s="25" t="str">
        <f t="shared" si="5"/>
        <v>('E000ORG1','Gymnasium31','Area Gedung Olahraga Baru','500','l'),</v>
      </c>
      <c r="H455" s="24" t="str">
        <f t="shared" si="9"/>
        <v>E000ORG1</v>
      </c>
      <c r="L455" s="9"/>
    </row>
    <row r="456" spans="1:12" ht="13" x14ac:dyDescent="0.3">
      <c r="A456" s="23">
        <v>455</v>
      </c>
      <c r="B456" s="24" t="s">
        <v>4354</v>
      </c>
      <c r="C456" s="24" t="s">
        <v>4355</v>
      </c>
      <c r="D456" s="24" t="s">
        <v>4353</v>
      </c>
      <c r="E456" s="23">
        <v>500</v>
      </c>
      <c r="F456" s="23" t="s">
        <v>1548</v>
      </c>
      <c r="G456" s="25" t="str">
        <f t="shared" si="5"/>
        <v>('E000ORG2','Gymnasium32','Area Gedung Olahraga Baru','500','l'),</v>
      </c>
      <c r="H456" s="24" t="str">
        <f t="shared" si="9"/>
        <v>E000ORG2</v>
      </c>
      <c r="L456" s="9"/>
    </row>
    <row r="457" spans="1:12" ht="13" x14ac:dyDescent="0.3">
      <c r="A457" s="23">
        <v>456</v>
      </c>
      <c r="B457" s="24" t="s">
        <v>4356</v>
      </c>
      <c r="C457" s="24" t="s">
        <v>4357</v>
      </c>
      <c r="D457" s="24" t="s">
        <v>4353</v>
      </c>
      <c r="E457" s="23">
        <v>500</v>
      </c>
      <c r="F457" s="23" t="s">
        <v>1548</v>
      </c>
      <c r="G457" s="25" t="str">
        <f t="shared" si="5"/>
        <v>('E000ORG3','Gymnasium33','Area Gedung Olahraga Baru','500','l'),</v>
      </c>
      <c r="H457" s="24" t="str">
        <f t="shared" si="9"/>
        <v>E000ORG3</v>
      </c>
      <c r="L457" s="9"/>
    </row>
    <row r="458" spans="1:12" ht="13" x14ac:dyDescent="0.3">
      <c r="A458" s="23">
        <v>457</v>
      </c>
      <c r="B458" s="24" t="s">
        <v>3653</v>
      </c>
      <c r="C458" s="24" t="s">
        <v>4358</v>
      </c>
      <c r="D458" s="24" t="s">
        <v>4353</v>
      </c>
      <c r="E458" s="23">
        <v>500</v>
      </c>
      <c r="F458" s="23" t="s">
        <v>1548</v>
      </c>
      <c r="G458" s="25" t="str">
        <f t="shared" si="5"/>
        <v>('E000ORG4','Gymnasium34','Area Gedung Olahraga Baru','500','l'),</v>
      </c>
      <c r="H458" s="24" t="str">
        <f t="shared" si="9"/>
        <v>E000ORG4</v>
      </c>
      <c r="L458" s="9"/>
    </row>
    <row r="459" spans="1:12" ht="13" x14ac:dyDescent="0.3">
      <c r="A459" s="23">
        <v>458</v>
      </c>
      <c r="B459" s="24" t="s">
        <v>3424</v>
      </c>
      <c r="C459" s="24" t="s">
        <v>4359</v>
      </c>
      <c r="D459" s="24" t="s">
        <v>4360</v>
      </c>
      <c r="E459" s="23">
        <v>100</v>
      </c>
      <c r="F459" s="23" t="s">
        <v>1548</v>
      </c>
      <c r="G459" s="25" t="str">
        <f t="shared" si="5"/>
        <v>('GLS3MKDU','RK MKDU','Gedung LSI Lt. 3','100','l'),</v>
      </c>
      <c r="H459" s="24" t="str">
        <f t="shared" si="9"/>
        <v>GLS3MKDU</v>
      </c>
      <c r="L459" s="9"/>
    </row>
    <row r="460" spans="1:12" ht="13" x14ac:dyDescent="0.3">
      <c r="A460" s="23">
        <v>459</v>
      </c>
      <c r="B460" s="24" t="s">
        <v>3597</v>
      </c>
      <c r="C460" s="24" t="s">
        <v>4361</v>
      </c>
      <c r="D460" s="24" t="s">
        <v>4362</v>
      </c>
      <c r="E460" s="23">
        <v>50</v>
      </c>
      <c r="F460" s="23" t="s">
        <v>1548</v>
      </c>
      <c r="G460" s="25" t="str">
        <f t="shared" si="5"/>
        <v>('GLS3MKDU1','RK MKDU 1','Gedung LSI Lt. 1','50','l'),</v>
      </c>
      <c r="H460" s="24" t="str">
        <f t="shared" si="9"/>
        <v>GLS3MKDU1</v>
      </c>
      <c r="L460" s="9"/>
    </row>
    <row r="461" spans="1:12" ht="13" x14ac:dyDescent="0.3">
      <c r="A461" s="23">
        <v>460</v>
      </c>
      <c r="B461" s="24" t="s">
        <v>4363</v>
      </c>
      <c r="C461" s="24" t="s">
        <v>4364</v>
      </c>
      <c r="D461" s="24" t="s">
        <v>4362</v>
      </c>
      <c r="E461" s="23">
        <v>50</v>
      </c>
      <c r="F461" s="23" t="s">
        <v>1548</v>
      </c>
      <c r="G461" s="25" t="str">
        <f t="shared" si="5"/>
        <v>('GLS3MKDU2','RK MKDU 2','Gedung LSI Lt. 1','50','l'),</v>
      </c>
      <c r="H461" s="24" t="str">
        <f t="shared" si="9"/>
        <v>GLS3MKDU2</v>
      </c>
      <c r="L461" s="9"/>
    </row>
    <row r="462" spans="1:12" ht="13" x14ac:dyDescent="0.3">
      <c r="A462" s="23">
        <v>461</v>
      </c>
      <c r="B462" s="24" t="s">
        <v>3445</v>
      </c>
      <c r="C462" s="24" t="s">
        <v>4365</v>
      </c>
      <c r="D462" s="24" t="s">
        <v>4366</v>
      </c>
      <c r="E462" s="23">
        <v>0</v>
      </c>
      <c r="F462" s="23" t="s">
        <v>1548</v>
      </c>
      <c r="G462" s="25" t="str">
        <f t="shared" si="5"/>
        <v>('H001REK1','RK. H (Rek 1)','Wing Rektorat Lt. 1','0','l'),</v>
      </c>
      <c r="H462" s="24" t="str">
        <f t="shared" si="9"/>
        <v>H001REK1</v>
      </c>
      <c r="L462" s="9"/>
    </row>
    <row r="463" spans="1:12" ht="13" x14ac:dyDescent="0.3">
      <c r="A463" s="23">
        <v>462</v>
      </c>
      <c r="B463" s="24" t="s">
        <v>4367</v>
      </c>
      <c r="C463" s="24" t="s">
        <v>4368</v>
      </c>
      <c r="D463" s="24" t="s">
        <v>4369</v>
      </c>
      <c r="E463" s="23">
        <v>0</v>
      </c>
      <c r="F463" s="23" t="s">
        <v>1548</v>
      </c>
      <c r="G463" s="25" t="str">
        <f t="shared" si="5"/>
        <v>('H002REK2','RK. H (Rek 2)','Wing Rektorat Lt. 2','0','l'),</v>
      </c>
      <c r="H463" s="24" t="str">
        <f t="shared" si="9"/>
        <v>H002REK2</v>
      </c>
      <c r="L463" s="9"/>
    </row>
    <row r="464" spans="1:12" ht="13" x14ac:dyDescent="0.3">
      <c r="A464" s="23">
        <v>463</v>
      </c>
      <c r="B464" s="24" t="s">
        <v>3541</v>
      </c>
      <c r="C464" s="24" t="s">
        <v>4370</v>
      </c>
      <c r="D464" s="24" t="s">
        <v>4371</v>
      </c>
      <c r="E464" s="23">
        <v>0</v>
      </c>
      <c r="F464" s="23" t="s">
        <v>1548</v>
      </c>
      <c r="G464" s="25" t="str">
        <f t="shared" si="5"/>
        <v>('H003REK3','RK. H (Rek 3)','Wing Rektorat Lt. 4','0','l'),</v>
      </c>
      <c r="H464" s="24" t="str">
        <f t="shared" si="9"/>
        <v>H003REK3</v>
      </c>
      <c r="L464" s="9"/>
    </row>
    <row r="465" spans="1:12" ht="13" x14ac:dyDescent="0.3">
      <c r="A465" s="23">
        <v>464</v>
      </c>
      <c r="B465" s="24" t="s">
        <v>3521</v>
      </c>
      <c r="C465" s="24" t="s">
        <v>4372</v>
      </c>
      <c r="D465" s="24" t="s">
        <v>4371</v>
      </c>
      <c r="E465" s="23">
        <v>0</v>
      </c>
      <c r="F465" s="23" t="s">
        <v>1548</v>
      </c>
      <c r="G465" s="25" t="str">
        <f t="shared" si="5"/>
        <v>('H004REK4','RK. H (Rek 4)','Wing Rektorat Lt. 4','0','l'),</v>
      </c>
      <c r="H465" s="24" t="str">
        <f t="shared" si="9"/>
        <v>H004REK4</v>
      </c>
      <c r="L465" s="9"/>
    </row>
    <row r="466" spans="1:12" ht="13" x14ac:dyDescent="0.3">
      <c r="A466" s="23">
        <v>465</v>
      </c>
      <c r="B466" s="24" t="s">
        <v>3480</v>
      </c>
      <c r="C466" s="24" t="s">
        <v>4373</v>
      </c>
      <c r="D466" s="24" t="s">
        <v>4371</v>
      </c>
      <c r="E466" s="23">
        <v>0</v>
      </c>
      <c r="F466" s="23" t="s">
        <v>1548</v>
      </c>
      <c r="G466" s="25" t="str">
        <f t="shared" si="5"/>
        <v>('H004REK5','RK. H (Rek 5)','Wing Rektorat Lt. 4','0','l'),</v>
      </c>
      <c r="H466" s="24" t="str">
        <f t="shared" si="9"/>
        <v>H004REK5</v>
      </c>
      <c r="L466" s="9"/>
    </row>
    <row r="467" spans="1:12" ht="13" x14ac:dyDescent="0.3">
      <c r="A467" s="23">
        <v>466</v>
      </c>
      <c r="B467" s="24" t="s">
        <v>3443</v>
      </c>
      <c r="C467" s="24" t="s">
        <v>4374</v>
      </c>
      <c r="D467" s="24" t="s">
        <v>4371</v>
      </c>
      <c r="E467" s="23">
        <v>0</v>
      </c>
      <c r="F467" s="23" t="s">
        <v>1548</v>
      </c>
      <c r="G467" s="25" t="str">
        <f t="shared" si="5"/>
        <v>('H004REK6','RK. H (Rek 6)','Wing Rektorat Lt. 4','0','l'),</v>
      </c>
      <c r="H467" s="24" t="str">
        <f t="shared" si="9"/>
        <v>H004REK6</v>
      </c>
      <c r="L467" s="9"/>
    </row>
    <row r="468" spans="1:12" ht="13" x14ac:dyDescent="0.3">
      <c r="A468" s="23">
        <v>467</v>
      </c>
      <c r="B468" s="24" t="s">
        <v>3592</v>
      </c>
      <c r="C468" s="24" t="s">
        <v>4375</v>
      </c>
      <c r="D468" s="24" t="s">
        <v>4376</v>
      </c>
      <c r="E468" s="23">
        <v>180</v>
      </c>
      <c r="F468" s="23" t="s">
        <v>1548</v>
      </c>
      <c r="G468" s="25" t="str">
        <f t="shared" si="5"/>
        <v>('ICCR101','RK. CCR 1.01','Gd.Baru Common Class Room Lt. 1','180','l'),</v>
      </c>
      <c r="H468" s="24" t="str">
        <f t="shared" si="9"/>
        <v>ICCR101</v>
      </c>
      <c r="L468" s="9"/>
    </row>
    <row r="469" spans="1:12" ht="13" x14ac:dyDescent="0.3">
      <c r="A469" s="23">
        <v>468</v>
      </c>
      <c r="B469" s="24" t="s">
        <v>3464</v>
      </c>
      <c r="C469" s="24" t="s">
        <v>4377</v>
      </c>
      <c r="D469" s="24" t="s">
        <v>4376</v>
      </c>
      <c r="E469" s="23">
        <v>180</v>
      </c>
      <c r="F469" s="23" t="s">
        <v>1548</v>
      </c>
      <c r="G469" s="25" t="str">
        <f t="shared" si="5"/>
        <v>('ICCR102','RK. CCR 1.02','Gd.Baru Common Class Room Lt. 1','180','l'),</v>
      </c>
      <c r="H469" s="24" t="str">
        <f t="shared" si="9"/>
        <v>ICCR102</v>
      </c>
      <c r="L469" s="9"/>
    </row>
    <row r="470" spans="1:12" ht="13" x14ac:dyDescent="0.3">
      <c r="A470" s="23">
        <v>469</v>
      </c>
      <c r="B470" s="24" t="s">
        <v>3482</v>
      </c>
      <c r="C470" s="24" t="s">
        <v>4378</v>
      </c>
      <c r="D470" s="24" t="s">
        <v>4376</v>
      </c>
      <c r="E470" s="23">
        <v>135</v>
      </c>
      <c r="F470" s="23" t="s">
        <v>1548</v>
      </c>
      <c r="G470" s="25" t="str">
        <f t="shared" si="5"/>
        <v>('ICCR103','RK. CCR 1.03','Gd.Baru Common Class Room Lt. 1','135','l'),</v>
      </c>
      <c r="H470" s="24" t="str">
        <f t="shared" si="9"/>
        <v>ICCR103</v>
      </c>
      <c r="L470" s="9"/>
    </row>
    <row r="471" spans="1:12" ht="13" x14ac:dyDescent="0.3">
      <c r="A471" s="23">
        <v>470</v>
      </c>
      <c r="B471" s="24" t="s">
        <v>3606</v>
      </c>
      <c r="C471" s="19" t="s">
        <v>4379</v>
      </c>
      <c r="D471" s="24" t="s">
        <v>4376</v>
      </c>
      <c r="E471" s="23">
        <v>135</v>
      </c>
      <c r="F471" s="23" t="s">
        <v>1548</v>
      </c>
      <c r="G471" s="25" t="str">
        <f t="shared" si="5"/>
        <v>('ICCR104','RK. CCR 1.04','Gd.Baru Common Class Room Lt. 1','135','l'),</v>
      </c>
      <c r="H471" s="24" t="str">
        <f t="shared" si="9"/>
        <v>ICCR104</v>
      </c>
      <c r="L471" s="9"/>
    </row>
    <row r="472" spans="1:12" ht="13" x14ac:dyDescent="0.3">
      <c r="A472" s="23">
        <v>471</v>
      </c>
      <c r="B472" s="24" t="s">
        <v>3475</v>
      </c>
      <c r="C472" s="19" t="s">
        <v>4380</v>
      </c>
      <c r="D472" s="24" t="s">
        <v>4376</v>
      </c>
      <c r="E472" s="23">
        <v>135</v>
      </c>
      <c r="F472" s="23" t="s">
        <v>1548</v>
      </c>
      <c r="G472" s="25" t="str">
        <f t="shared" si="5"/>
        <v>('ICCR105','RK. CCR 1.05','Gd.Baru Common Class Room Lt. 1','135','l'),</v>
      </c>
      <c r="H472" s="24" t="str">
        <f t="shared" si="9"/>
        <v>ICCR105</v>
      </c>
      <c r="L472" s="9"/>
    </row>
    <row r="473" spans="1:12" ht="13" x14ac:dyDescent="0.3">
      <c r="A473" s="23">
        <v>472</v>
      </c>
      <c r="B473" s="24" t="s">
        <v>4381</v>
      </c>
      <c r="C473" s="19" t="s">
        <v>4382</v>
      </c>
      <c r="D473" s="24" t="s">
        <v>4376</v>
      </c>
      <c r="E473" s="23">
        <v>135</v>
      </c>
      <c r="F473" s="23" t="s">
        <v>1548</v>
      </c>
      <c r="G473" s="25" t="str">
        <f t="shared" si="5"/>
        <v>('ICCR106','RK. CCR 1.06','Gd.Baru Common Class Room Lt. 1','135','l'),</v>
      </c>
      <c r="H473" s="24" t="str">
        <f t="shared" si="9"/>
        <v>ICCR106</v>
      </c>
      <c r="L473" s="9"/>
    </row>
    <row r="474" spans="1:12" ht="13" x14ac:dyDescent="0.3">
      <c r="A474" s="23">
        <v>473</v>
      </c>
      <c r="B474" s="24" t="s">
        <v>3467</v>
      </c>
      <c r="C474" s="19" t="s">
        <v>4383</v>
      </c>
      <c r="D474" s="24" t="s">
        <v>4376</v>
      </c>
      <c r="E474" s="23">
        <v>180</v>
      </c>
      <c r="F474" s="23" t="s">
        <v>1548</v>
      </c>
      <c r="G474" s="25" t="str">
        <f t="shared" si="5"/>
        <v>('ICCR107','RK. CCR 1.07','Gd.Baru Common Class Room Lt. 1','180','l'),</v>
      </c>
      <c r="H474" s="24" t="str">
        <f t="shared" si="9"/>
        <v>ICCR107</v>
      </c>
      <c r="L474" s="9"/>
    </row>
    <row r="475" spans="1:12" ht="13" x14ac:dyDescent="0.3">
      <c r="A475" s="23">
        <v>474</v>
      </c>
      <c r="B475" s="24" t="s">
        <v>3643</v>
      </c>
      <c r="C475" s="19" t="s">
        <v>4384</v>
      </c>
      <c r="D475" s="24" t="s">
        <v>4376</v>
      </c>
      <c r="E475" s="23">
        <v>135</v>
      </c>
      <c r="F475" s="23" t="s">
        <v>1548</v>
      </c>
      <c r="G475" s="25" t="str">
        <f t="shared" si="5"/>
        <v>('ICCR108','RK. CCR 1.08','Gd.Baru Common Class Room Lt. 1','135','l'),</v>
      </c>
      <c r="H475" s="24" t="str">
        <f t="shared" si="9"/>
        <v>ICCR108</v>
      </c>
      <c r="L475" s="9"/>
    </row>
    <row r="476" spans="1:12" ht="13" x14ac:dyDescent="0.3">
      <c r="A476" s="23">
        <v>475</v>
      </c>
      <c r="B476" s="24" t="s">
        <v>3406</v>
      </c>
      <c r="C476" s="19" t="s">
        <v>4385</v>
      </c>
      <c r="D476" s="24" t="s">
        <v>4376</v>
      </c>
      <c r="E476" s="23">
        <v>135</v>
      </c>
      <c r="F476" s="23" t="s">
        <v>1548</v>
      </c>
      <c r="G476" s="25" t="str">
        <f t="shared" si="5"/>
        <v>('ICCR109','RK. CCR 1.09','Gd.Baru Common Class Room Lt. 1','135','l'),</v>
      </c>
      <c r="H476" s="24" t="str">
        <f t="shared" si="9"/>
        <v>ICCR109</v>
      </c>
      <c r="L476" s="9"/>
    </row>
    <row r="477" spans="1:12" ht="13" x14ac:dyDescent="0.3">
      <c r="A477" s="23">
        <v>476</v>
      </c>
      <c r="B477" s="24" t="s">
        <v>3427</v>
      </c>
      <c r="C477" s="19" t="s">
        <v>4386</v>
      </c>
      <c r="D477" s="24" t="s">
        <v>4376</v>
      </c>
      <c r="E477" s="23">
        <v>135</v>
      </c>
      <c r="F477" s="23" t="s">
        <v>1548</v>
      </c>
      <c r="G477" s="25" t="str">
        <f t="shared" si="5"/>
        <v>('ICCR110','RK. CCR 1.10','Gd.Baru Common Class Room Lt. 1','135','l'),</v>
      </c>
      <c r="H477" s="24" t="str">
        <f t="shared" si="9"/>
        <v>ICCR110</v>
      </c>
      <c r="L477" s="9"/>
    </row>
    <row r="478" spans="1:12" ht="13" x14ac:dyDescent="0.3">
      <c r="A478" s="23">
        <v>477</v>
      </c>
      <c r="B478" s="24" t="s">
        <v>3566</v>
      </c>
      <c r="C478" s="19" t="s">
        <v>4387</v>
      </c>
      <c r="D478" s="24" t="s">
        <v>4388</v>
      </c>
      <c r="E478" s="23">
        <v>135</v>
      </c>
      <c r="F478" s="23" t="s">
        <v>1548</v>
      </c>
      <c r="G478" s="25" t="str">
        <f t="shared" si="5"/>
        <v>('ICCR201','RK. CCR 2.01','Gd.Baru Common Class Room Lt. 2','135','l'),</v>
      </c>
      <c r="H478" s="24" t="str">
        <f t="shared" si="9"/>
        <v>ICCR201</v>
      </c>
      <c r="L478" s="9"/>
    </row>
    <row r="479" spans="1:12" ht="13" x14ac:dyDescent="0.3">
      <c r="A479" s="23">
        <v>478</v>
      </c>
      <c r="B479" s="24" t="s">
        <v>4389</v>
      </c>
      <c r="C479" s="19" t="s">
        <v>4390</v>
      </c>
      <c r="D479" s="24" t="s">
        <v>4388</v>
      </c>
      <c r="E479" s="23">
        <v>135</v>
      </c>
      <c r="F479" s="23" t="s">
        <v>1548</v>
      </c>
      <c r="G479" s="25" t="str">
        <f t="shared" si="5"/>
        <v>('ICCR202','RK. CCR 2.02','Gd.Baru Common Class Room Lt. 2','135','l'),</v>
      </c>
      <c r="H479" s="24" t="str">
        <f t="shared" si="9"/>
        <v>ICCR202</v>
      </c>
      <c r="L479" s="9"/>
    </row>
    <row r="480" spans="1:12" ht="13" x14ac:dyDescent="0.3">
      <c r="A480" s="23">
        <v>479</v>
      </c>
      <c r="B480" s="24" t="s">
        <v>4391</v>
      </c>
      <c r="C480" s="19" t="s">
        <v>4392</v>
      </c>
      <c r="D480" s="24" t="s">
        <v>4388</v>
      </c>
      <c r="E480" s="23">
        <v>135</v>
      </c>
      <c r="F480" s="23" t="s">
        <v>1548</v>
      </c>
      <c r="G480" s="25" t="str">
        <f t="shared" si="5"/>
        <v>('ICCR203','RK. CCR 2.03','Gd.Baru Common Class Room Lt. 2','135','l'),</v>
      </c>
      <c r="H480" s="24" t="str">
        <f t="shared" si="9"/>
        <v>ICCR203</v>
      </c>
      <c r="L480" s="9"/>
    </row>
    <row r="481" spans="1:12" ht="13" x14ac:dyDescent="0.3">
      <c r="A481" s="23">
        <v>480</v>
      </c>
      <c r="B481" s="19" t="s">
        <v>3543</v>
      </c>
      <c r="C481" s="19" t="s">
        <v>4393</v>
      </c>
      <c r="D481" s="24" t="s">
        <v>4388</v>
      </c>
      <c r="E481" s="23">
        <v>135</v>
      </c>
      <c r="F481" s="23" t="s">
        <v>1548</v>
      </c>
      <c r="G481" s="25" t="str">
        <f t="shared" si="5"/>
        <v>('ICCR204','RK. CCR 2.04','Gd.Baru Common Class Room Lt. 2','135','l'),</v>
      </c>
      <c r="H481" s="24" t="str">
        <f t="shared" si="9"/>
        <v>ICCR204</v>
      </c>
      <c r="L481" s="9"/>
    </row>
    <row r="482" spans="1:12" ht="13" x14ac:dyDescent="0.3">
      <c r="A482" s="23">
        <v>481</v>
      </c>
      <c r="B482" s="24" t="s">
        <v>4394</v>
      </c>
      <c r="C482" s="19" t="s">
        <v>4395</v>
      </c>
      <c r="D482" s="24" t="s">
        <v>4388</v>
      </c>
      <c r="E482" s="23">
        <v>135</v>
      </c>
      <c r="F482" s="23" t="s">
        <v>1548</v>
      </c>
      <c r="G482" s="25" t="str">
        <f t="shared" si="5"/>
        <v>('ICCR205','RK. CCR 2.05','Gd.Baru Common Class Room Lt. 2','135','l'),</v>
      </c>
      <c r="H482" s="24" t="str">
        <f t="shared" si="9"/>
        <v>ICCR205</v>
      </c>
      <c r="L482" s="9"/>
    </row>
    <row r="483" spans="1:12" ht="13" x14ac:dyDescent="0.3">
      <c r="A483" s="23">
        <v>482</v>
      </c>
      <c r="B483" s="24" t="s">
        <v>4396</v>
      </c>
      <c r="C483" s="24" t="s">
        <v>4397</v>
      </c>
      <c r="D483" s="24" t="s">
        <v>4388</v>
      </c>
      <c r="E483" s="23">
        <v>135</v>
      </c>
      <c r="F483" s="23" t="s">
        <v>1548</v>
      </c>
      <c r="G483" s="25" t="str">
        <f t="shared" si="5"/>
        <v>('ICCR206','RK. CCR 2.06','Gd.Baru Common Class Room Lt. 2','135','l'),</v>
      </c>
      <c r="H483" s="24" t="str">
        <f t="shared" si="9"/>
        <v>ICCR206</v>
      </c>
      <c r="L483" s="9"/>
    </row>
    <row r="484" spans="1:12" ht="13" x14ac:dyDescent="0.3">
      <c r="A484" s="23">
        <v>483</v>
      </c>
      <c r="B484" s="24" t="s">
        <v>3493</v>
      </c>
      <c r="C484" s="24" t="s">
        <v>4398</v>
      </c>
      <c r="D484" s="24" t="s">
        <v>4388</v>
      </c>
      <c r="E484" s="23">
        <v>180</v>
      </c>
      <c r="F484" s="23" t="s">
        <v>1548</v>
      </c>
      <c r="G484" s="25" t="str">
        <f t="shared" si="5"/>
        <v>('ICCR207','RK. CCR 2.07','Gd.Baru Common Class Room Lt. 2','180','l'),</v>
      </c>
      <c r="H484" s="24" t="str">
        <f t="shared" si="9"/>
        <v>ICCR207</v>
      </c>
      <c r="L484" s="9"/>
    </row>
    <row r="485" spans="1:12" ht="13" x14ac:dyDescent="0.3">
      <c r="A485" s="23">
        <v>484</v>
      </c>
      <c r="B485" s="24" t="s">
        <v>3429</v>
      </c>
      <c r="C485" s="24" t="s">
        <v>4399</v>
      </c>
      <c r="D485" s="24" t="s">
        <v>4388</v>
      </c>
      <c r="E485" s="23">
        <v>180</v>
      </c>
      <c r="F485" s="23" t="s">
        <v>1548</v>
      </c>
      <c r="G485" s="25" t="str">
        <f t="shared" si="5"/>
        <v>('ICCR208','RK. CCR 2.08','Gd.Baru Common Class Room Lt. 2','180','l'),</v>
      </c>
      <c r="H485" s="24" t="str">
        <f t="shared" si="9"/>
        <v>ICCR208</v>
      </c>
      <c r="L485" s="9"/>
    </row>
    <row r="486" spans="1:12" ht="13" x14ac:dyDescent="0.3">
      <c r="A486" s="23">
        <v>485</v>
      </c>
      <c r="B486" s="24" t="s">
        <v>4400</v>
      </c>
      <c r="C486" s="24" t="s">
        <v>4401</v>
      </c>
      <c r="D486" s="24" t="s">
        <v>4388</v>
      </c>
      <c r="E486" s="23">
        <v>135</v>
      </c>
      <c r="F486" s="23" t="s">
        <v>1548</v>
      </c>
      <c r="G486" s="25" t="str">
        <f t="shared" si="5"/>
        <v>('ICCR209','RK. CCR 2.09','Gd.Baru Common Class Room Lt. 2','135','l'),</v>
      </c>
      <c r="H486" s="24" t="str">
        <f t="shared" si="9"/>
        <v>ICCR209</v>
      </c>
      <c r="L486" s="9"/>
    </row>
    <row r="487" spans="1:12" ht="13" x14ac:dyDescent="0.3">
      <c r="A487" s="23">
        <v>486</v>
      </c>
      <c r="B487" s="24" t="s">
        <v>4402</v>
      </c>
      <c r="C487" s="24" t="s">
        <v>4403</v>
      </c>
      <c r="D487" s="24" t="s">
        <v>4388</v>
      </c>
      <c r="E487" s="23">
        <v>135</v>
      </c>
      <c r="F487" s="23" t="s">
        <v>1548</v>
      </c>
      <c r="G487" s="25" t="str">
        <f t="shared" si="5"/>
        <v>('ICCR210','RK. CCR 2.10','Gd.Baru Common Class Room Lt. 2','135','l'),</v>
      </c>
      <c r="H487" s="24" t="str">
        <f t="shared" si="9"/>
        <v>ICCR210</v>
      </c>
      <c r="L487" s="9"/>
    </row>
    <row r="488" spans="1:12" ht="13" x14ac:dyDescent="0.3">
      <c r="A488" s="23">
        <v>487</v>
      </c>
      <c r="B488" s="24" t="s">
        <v>4404</v>
      </c>
      <c r="C488" s="24" t="s">
        <v>4405</v>
      </c>
      <c r="D488" s="24" t="s">
        <v>4388</v>
      </c>
      <c r="E488" s="23">
        <v>135</v>
      </c>
      <c r="F488" s="23" t="s">
        <v>1548</v>
      </c>
      <c r="G488" s="25" t="str">
        <f t="shared" si="5"/>
        <v>('ICCR211','RK. CCR 2.11','Gd.Baru Common Class Room Lt. 2','135','l'),</v>
      </c>
      <c r="H488" s="24" t="str">
        <f t="shared" si="9"/>
        <v>ICCR211</v>
      </c>
      <c r="L488" s="9"/>
    </row>
    <row r="489" spans="1:12" ht="13" x14ac:dyDescent="0.3">
      <c r="A489" s="23">
        <v>488</v>
      </c>
      <c r="B489" s="24" t="s">
        <v>3412</v>
      </c>
      <c r="C489" s="24" t="s">
        <v>4406</v>
      </c>
      <c r="D489" s="24" t="s">
        <v>4388</v>
      </c>
      <c r="E489" s="23">
        <v>135</v>
      </c>
      <c r="F489" s="23" t="s">
        <v>1548</v>
      </c>
      <c r="G489" s="25" t="str">
        <f t="shared" si="5"/>
        <v>('ICCR212','RK. CCR 2.12','Gd.Baru Common Class Room Lt. 2','135','l'),</v>
      </c>
      <c r="H489" s="24" t="str">
        <f t="shared" si="9"/>
        <v>ICCR212</v>
      </c>
      <c r="L489" s="9"/>
    </row>
    <row r="490" spans="1:12" ht="13" x14ac:dyDescent="0.3">
      <c r="A490" s="23">
        <v>489</v>
      </c>
      <c r="B490" s="24" t="s">
        <v>3502</v>
      </c>
      <c r="C490" s="24" t="s">
        <v>4407</v>
      </c>
      <c r="D490" s="24" t="s">
        <v>4388</v>
      </c>
      <c r="E490" s="23">
        <v>135</v>
      </c>
      <c r="F490" s="23" t="s">
        <v>1548</v>
      </c>
      <c r="G490" s="25" t="str">
        <f t="shared" si="5"/>
        <v>('ICCR213','RK. CCR 2.13','Gd.Baru Common Class Room Lt. 2','135','l'),</v>
      </c>
      <c r="H490" s="24" t="str">
        <f t="shared" si="9"/>
        <v>ICCR213</v>
      </c>
      <c r="L490" s="9"/>
    </row>
    <row r="491" spans="1:12" ht="13" x14ac:dyDescent="0.3">
      <c r="A491" s="23">
        <v>490</v>
      </c>
      <c r="B491" s="24" t="s">
        <v>4408</v>
      </c>
      <c r="C491" s="24" t="s">
        <v>4409</v>
      </c>
      <c r="D491" s="24" t="s">
        <v>4388</v>
      </c>
      <c r="E491" s="23">
        <v>135</v>
      </c>
      <c r="F491" s="23" t="s">
        <v>1548</v>
      </c>
      <c r="G491" s="25" t="str">
        <f t="shared" si="5"/>
        <v>('ICCR214','RK. CCR 2.14','Gd.Baru Common Class Room Lt. 2','135','l'),</v>
      </c>
      <c r="H491" s="24" t="str">
        <f t="shared" si="9"/>
        <v>ICCR214</v>
      </c>
      <c r="L491" s="9"/>
    </row>
    <row r="492" spans="1:12" ht="13" x14ac:dyDescent="0.3">
      <c r="A492" s="23">
        <v>491</v>
      </c>
      <c r="B492" s="24" t="s">
        <v>4410</v>
      </c>
      <c r="C492" s="24" t="s">
        <v>4411</v>
      </c>
      <c r="D492" s="24" t="s">
        <v>4388</v>
      </c>
      <c r="E492" s="23">
        <v>135</v>
      </c>
      <c r="F492" s="23" t="s">
        <v>1548</v>
      </c>
      <c r="G492" s="25" t="str">
        <f t="shared" si="5"/>
        <v>('ICCR215','RK. CCR 2.15','Gd.Baru Common Class Room Lt. 2','135','l'),</v>
      </c>
      <c r="H492" s="24" t="str">
        <f t="shared" si="9"/>
        <v>ICCR215</v>
      </c>
      <c r="L492" s="9"/>
    </row>
    <row r="493" spans="1:12" ht="13" x14ac:dyDescent="0.3">
      <c r="A493" s="23">
        <v>492</v>
      </c>
      <c r="B493" s="24" t="s">
        <v>4412</v>
      </c>
      <c r="C493" s="24" t="s">
        <v>4413</v>
      </c>
      <c r="D493" s="24" t="s">
        <v>4388</v>
      </c>
      <c r="E493" s="23">
        <v>135</v>
      </c>
      <c r="F493" s="23" t="s">
        <v>1548</v>
      </c>
      <c r="G493" s="25" t="str">
        <f t="shared" si="5"/>
        <v>('ICCR216','RK. CCR 2.16','Gd.Baru Common Class Room Lt. 2','135','l'),</v>
      </c>
      <c r="H493" s="24" t="str">
        <f t="shared" si="9"/>
        <v>ICCR216</v>
      </c>
      <c r="L493" s="9"/>
    </row>
    <row r="494" spans="1:12" ht="13" x14ac:dyDescent="0.3">
      <c r="A494" s="23">
        <v>493</v>
      </c>
      <c r="B494" s="24" t="s">
        <v>3525</v>
      </c>
      <c r="C494" s="24" t="s">
        <v>4414</v>
      </c>
      <c r="D494" s="24" t="s">
        <v>4415</v>
      </c>
      <c r="E494" s="23">
        <v>600</v>
      </c>
      <c r="F494" s="23" t="s">
        <v>1548</v>
      </c>
      <c r="G494" s="25" t="str">
        <f t="shared" si="5"/>
        <v>('ICCRAUD','Auditorium CCR','Gd.Baru TPB','600','l'),</v>
      </c>
      <c r="H494" s="24" t="str">
        <f t="shared" si="9"/>
        <v>ICCRAUD</v>
      </c>
      <c r="L494" s="9"/>
    </row>
    <row r="495" spans="1:12" ht="13" x14ac:dyDescent="0.3">
      <c r="A495" s="23">
        <v>494</v>
      </c>
      <c r="B495" s="24" t="s">
        <v>4416</v>
      </c>
      <c r="C495" s="24" t="s">
        <v>4417</v>
      </c>
      <c r="D495" s="24" t="s">
        <v>4418</v>
      </c>
      <c r="E495" s="23">
        <v>200</v>
      </c>
      <c r="F495" s="23" t="s">
        <v>1548</v>
      </c>
      <c r="G495" s="25" t="str">
        <f t="shared" si="5"/>
        <v>('LAB-CYBER1','LAB.Cyber Singkong','Lt 2 Perpustakaan','200','l'),</v>
      </c>
      <c r="H495" s="24" t="str">
        <f t="shared" si="9"/>
        <v>LAB-CYBER1</v>
      </c>
      <c r="L495" s="9"/>
    </row>
    <row r="496" spans="1:12" ht="13" x14ac:dyDescent="0.3">
      <c r="A496" s="23">
        <v>495</v>
      </c>
      <c r="B496" s="24" t="s">
        <v>3588</v>
      </c>
      <c r="C496" s="24" t="s">
        <v>4419</v>
      </c>
      <c r="D496" s="24" t="s">
        <v>4420</v>
      </c>
      <c r="E496" s="23">
        <v>0</v>
      </c>
      <c r="F496" s="23" t="s">
        <v>1548</v>
      </c>
      <c r="G496" s="25" t="str">
        <f t="shared" si="5"/>
        <v>('LOBBYREK','Lobby Rektorat','Lobby Rektorat Lt. 2','0','l'),</v>
      </c>
      <c r="H496" s="24" t="str">
        <f t="shared" si="9"/>
        <v>LOBBYREK</v>
      </c>
      <c r="L496" s="9"/>
    </row>
    <row r="497" spans="1:12" ht="13" x14ac:dyDescent="0.3">
      <c r="A497" s="23">
        <v>496</v>
      </c>
      <c r="B497" s="24" t="s">
        <v>3421</v>
      </c>
      <c r="C497" s="24" t="s">
        <v>4421</v>
      </c>
      <c r="D497" s="24" t="s">
        <v>4422</v>
      </c>
      <c r="E497" s="23">
        <v>50</v>
      </c>
      <c r="F497" s="23" t="s">
        <v>1548</v>
      </c>
      <c r="G497" s="25" t="str">
        <f t="shared" si="5"/>
        <v>('PPS-R302','RK. Pasca 302','Gedung Pasca Lt.3','50','l'),</v>
      </c>
      <c r="H497" s="24" t="str">
        <f t="shared" si="9"/>
        <v>PPS-R302</v>
      </c>
      <c r="L497" s="9"/>
    </row>
    <row r="498" spans="1:12" ht="13" x14ac:dyDescent="0.3">
      <c r="A498" s="23">
        <v>497</v>
      </c>
      <c r="B498" s="24" t="s">
        <v>4423</v>
      </c>
      <c r="C498" s="24" t="s">
        <v>4424</v>
      </c>
      <c r="D498" s="24" t="s">
        <v>4422</v>
      </c>
      <c r="E498" s="23">
        <v>50</v>
      </c>
      <c r="F498" s="23" t="s">
        <v>1548</v>
      </c>
      <c r="G498" s="25" t="str">
        <f t="shared" si="5"/>
        <v>('PPS-R305','RK. Pasca 305','Gedung Pasca Lt.3','50','l'),</v>
      </c>
      <c r="H498" s="24" t="str">
        <f t="shared" si="9"/>
        <v>PPS-R305</v>
      </c>
      <c r="L498" s="9"/>
    </row>
    <row r="499" spans="1:12" ht="13" x14ac:dyDescent="0.3">
      <c r="A499" s="23">
        <v>498</v>
      </c>
      <c r="B499" s="24" t="s">
        <v>3609</v>
      </c>
      <c r="C499" s="24" t="s">
        <v>4425</v>
      </c>
      <c r="D499" s="24" t="s">
        <v>4422</v>
      </c>
      <c r="E499" s="23">
        <v>50</v>
      </c>
      <c r="F499" s="23" t="s">
        <v>1548</v>
      </c>
      <c r="G499" s="25" t="str">
        <f t="shared" si="5"/>
        <v>('PPS-R306','RK. Pasca 306','Gedung Pasca Lt.3','50','l'),</v>
      </c>
      <c r="H499" s="24" t="str">
        <f t="shared" si="9"/>
        <v>PPS-R306</v>
      </c>
      <c r="L499" s="9"/>
    </row>
    <row r="500" spans="1:12" ht="13" x14ac:dyDescent="0.3">
      <c r="A500" s="23">
        <v>499</v>
      </c>
      <c r="B500" s="24" t="s">
        <v>3659</v>
      </c>
      <c r="C500" s="24" t="s">
        <v>4426</v>
      </c>
      <c r="D500" s="24" t="s">
        <v>4427</v>
      </c>
      <c r="E500" s="23">
        <v>50</v>
      </c>
      <c r="F500" s="23" t="s">
        <v>1548</v>
      </c>
      <c r="G500" s="25" t="str">
        <f t="shared" si="5"/>
        <v>('PPS-R403','RK. Pasca 403','Gedung Pasca Lt.4','50','l'),</v>
      </c>
      <c r="H500" s="24" t="str">
        <f t="shared" si="9"/>
        <v>PPS-R403</v>
      </c>
      <c r="L500" s="9"/>
    </row>
    <row r="501" spans="1:12" ht="13" x14ac:dyDescent="0.3">
      <c r="A501" s="23">
        <v>500</v>
      </c>
      <c r="B501" s="24" t="s">
        <v>2106</v>
      </c>
      <c r="C501" s="24" t="s">
        <v>449</v>
      </c>
      <c r="D501" s="24" t="s">
        <v>4427</v>
      </c>
      <c r="E501" s="23">
        <v>50</v>
      </c>
      <c r="F501" s="23" t="s">
        <v>1548</v>
      </c>
      <c r="G501" s="25" t="str">
        <f t="shared" si="5"/>
        <v>('PPS-R404','RK. Pasca 404','Gedung Pasca Lt.4','50','l'),</v>
      </c>
      <c r="H501" s="24" t="str">
        <f t="shared" si="9"/>
        <v>PPS-R404</v>
      </c>
      <c r="L501" s="9"/>
    </row>
    <row r="502" spans="1:12" ht="13" x14ac:dyDescent="0.3">
      <c r="A502" s="23">
        <v>501</v>
      </c>
      <c r="B502" s="24" t="s">
        <v>3599</v>
      </c>
      <c r="C502" s="24" t="s">
        <v>4428</v>
      </c>
      <c r="D502" s="24" t="s">
        <v>4427</v>
      </c>
      <c r="E502" s="23">
        <v>70</v>
      </c>
      <c r="F502" s="23" t="s">
        <v>1548</v>
      </c>
      <c r="G502" s="25" t="str">
        <f t="shared" si="5"/>
        <v>('PPS-R405','RK. Pasca 405','Gedung Pasca Lt.4','70','l'),</v>
      </c>
      <c r="H502" s="24" t="str">
        <f t="shared" si="9"/>
        <v>PPS-R405</v>
      </c>
      <c r="L502" s="9"/>
    </row>
    <row r="503" spans="1:12" ht="13" x14ac:dyDescent="0.3">
      <c r="A503" s="23">
        <v>502</v>
      </c>
      <c r="B503" s="24" t="s">
        <v>3512</v>
      </c>
      <c r="C503" s="24" t="s">
        <v>4429</v>
      </c>
      <c r="D503" s="24" t="s">
        <v>4430</v>
      </c>
      <c r="E503" s="23">
        <v>180</v>
      </c>
      <c r="F503" s="23" t="s">
        <v>1548</v>
      </c>
      <c r="G503" s="25" t="str">
        <f t="shared" si="5"/>
        <v>('TLRKU001','RK. Teaching LAB TPB.1.01','Teaching Lab Lt.1','180','l'),</v>
      </c>
      <c r="H503" s="24" t="str">
        <f t="shared" si="9"/>
        <v>TLRKU001</v>
      </c>
      <c r="L503" s="9"/>
    </row>
    <row r="504" spans="1:12" ht="13" x14ac:dyDescent="0.3">
      <c r="A504" s="23">
        <v>503</v>
      </c>
      <c r="B504" s="24" t="s">
        <v>3432</v>
      </c>
      <c r="C504" s="24" t="s">
        <v>4431</v>
      </c>
      <c r="D504" s="24" t="s">
        <v>4432</v>
      </c>
      <c r="E504" s="23">
        <v>180</v>
      </c>
      <c r="F504" s="23" t="s">
        <v>1548</v>
      </c>
      <c r="G504" s="25" t="str">
        <f t="shared" si="5"/>
        <v>('TLRKU002','RK. Teaching LAB TPB.2','Teaching Lab Lt.2','180','l'),</v>
      </c>
      <c r="H504" s="24" t="str">
        <f t="shared" si="9"/>
        <v>TLRKU002</v>
      </c>
      <c r="L504" s="9"/>
    </row>
    <row r="505" spans="1:12" ht="13" x14ac:dyDescent="0.3">
      <c r="A505" s="23">
        <v>504</v>
      </c>
      <c r="B505" s="24" t="s">
        <v>3470</v>
      </c>
      <c r="C505" s="24" t="s">
        <v>4433</v>
      </c>
      <c r="D505" s="24" t="s">
        <v>4432</v>
      </c>
      <c r="E505" s="23">
        <v>5</v>
      </c>
      <c r="F505" s="23" t="s">
        <v>1548</v>
      </c>
      <c r="G505" s="25" t="str">
        <f t="shared" si="5"/>
        <v>('TLRKU003','RK. Teaching LAB TPB.2.1','Teaching Lab Lt.2','5','l'),</v>
      </c>
      <c r="H505" s="24" t="str">
        <f t="shared" si="9"/>
        <v>TLRKU003</v>
      </c>
      <c r="L505" s="9"/>
    </row>
    <row r="506" spans="1:12" ht="13" x14ac:dyDescent="0.3">
      <c r="A506" s="23">
        <v>505</v>
      </c>
      <c r="B506" s="24" t="s">
        <v>3435</v>
      </c>
      <c r="C506" s="24" t="s">
        <v>4434</v>
      </c>
      <c r="D506" s="24" t="s">
        <v>4432</v>
      </c>
      <c r="E506" s="23">
        <v>70</v>
      </c>
      <c r="F506" s="23" t="s">
        <v>1548</v>
      </c>
      <c r="G506" s="25" t="str">
        <f t="shared" si="5"/>
        <v>('TLRKU004','RK. Teaching LAB TPB.2.2','Teaching Lab Lt.2','70','l'),</v>
      </c>
      <c r="H506" s="24" t="str">
        <f t="shared" si="9"/>
        <v>TLRKU004</v>
      </c>
      <c r="L506" s="9"/>
    </row>
    <row r="507" spans="1:12" ht="13" x14ac:dyDescent="0.3">
      <c r="A507" s="23">
        <v>506</v>
      </c>
      <c r="B507" s="24" t="s">
        <v>3552</v>
      </c>
      <c r="C507" s="24" t="s">
        <v>4435</v>
      </c>
      <c r="D507" s="24" t="s">
        <v>4432</v>
      </c>
      <c r="E507" s="23">
        <v>70</v>
      </c>
      <c r="F507" s="23" t="s">
        <v>1548</v>
      </c>
      <c r="G507" s="25" t="str">
        <f t="shared" si="5"/>
        <v>('TLRKU005','RK. Teaching LAB TPB.2.3','Teaching Lab Lt.2','70','l'),</v>
      </c>
      <c r="H507" s="24" t="str">
        <f t="shared" si="9"/>
        <v>TLRKU005</v>
      </c>
      <c r="L507" s="9"/>
    </row>
    <row r="508" spans="1:12" ht="13" x14ac:dyDescent="0.3">
      <c r="A508" s="23">
        <v>507</v>
      </c>
      <c r="B508" s="24" t="s">
        <v>3681</v>
      </c>
      <c r="C508" s="24" t="s">
        <v>4436</v>
      </c>
      <c r="D508" s="24" t="s">
        <v>4432</v>
      </c>
      <c r="E508" s="23">
        <v>70</v>
      </c>
      <c r="F508" s="23" t="s">
        <v>1548</v>
      </c>
      <c r="G508" s="25" t="str">
        <f t="shared" si="5"/>
        <v>('TLRKU006','RK. Teaching LAB TPB.2.4','Teaching Lab Lt.2','70','l'),</v>
      </c>
      <c r="H508" s="24" t="str">
        <f t="shared" si="9"/>
        <v>TLRKU006</v>
      </c>
      <c r="L508" s="9"/>
    </row>
    <row r="509" spans="1:12" ht="13" x14ac:dyDescent="0.3">
      <c r="A509" s="23">
        <v>508</v>
      </c>
      <c r="B509" s="24" t="s">
        <v>3570</v>
      </c>
      <c r="C509" s="24" t="s">
        <v>4437</v>
      </c>
      <c r="D509" s="24" t="s">
        <v>4432</v>
      </c>
      <c r="E509" s="23">
        <v>80</v>
      </c>
      <c r="F509" s="23" t="s">
        <v>1548</v>
      </c>
      <c r="G509" s="25" t="str">
        <f t="shared" si="5"/>
        <v>('TLRKU007','RK. Teaching LAB TPB.2.5','Teaching Lab Lt.2','80','l'),</v>
      </c>
      <c r="H509" s="24" t="str">
        <f t="shared" si="9"/>
        <v>TLRKU007</v>
      </c>
      <c r="L509" s="9"/>
    </row>
    <row r="510" spans="1:12" ht="13" x14ac:dyDescent="0.3">
      <c r="A510" s="23">
        <v>509</v>
      </c>
      <c r="B510" s="24" t="s">
        <v>4438</v>
      </c>
      <c r="C510" s="24" t="s">
        <v>4439</v>
      </c>
      <c r="D510" s="24" t="s">
        <v>4440</v>
      </c>
      <c r="E510" s="23">
        <v>65</v>
      </c>
      <c r="F510" s="23" t="s">
        <v>1548</v>
      </c>
      <c r="G510" s="25" t="str">
        <f t="shared" si="5"/>
        <v>('TPBKIMO1','Lab Kimia - 1','Wing R','65','l'),</v>
      </c>
      <c r="H510" s="24" t="str">
        <f t="shared" si="9"/>
        <v>TPBKIMO1</v>
      </c>
      <c r="L510" s="9"/>
    </row>
    <row r="511" spans="1:12" ht="13" x14ac:dyDescent="0.3">
      <c r="A511" s="23">
        <v>510</v>
      </c>
      <c r="B511" s="24" t="s">
        <v>4441</v>
      </c>
      <c r="C511" s="24" t="s">
        <v>4442</v>
      </c>
      <c r="D511" s="24" t="s">
        <v>4440</v>
      </c>
      <c r="E511" s="23">
        <v>65</v>
      </c>
      <c r="F511" s="23" t="s">
        <v>1548</v>
      </c>
      <c r="G511" s="25" t="str">
        <f t="shared" si="5"/>
        <v>('TPBLBIO1','Lab Biologi - 1','Wing R','65','l'),</v>
      </c>
      <c r="H511" s="24" t="str">
        <f t="shared" si="9"/>
        <v>TPBLBIO1</v>
      </c>
      <c r="L511" s="9"/>
    </row>
    <row r="512" spans="1:12" ht="13" x14ac:dyDescent="0.3">
      <c r="A512" s="23">
        <v>511</v>
      </c>
      <c r="B512" s="24" t="s">
        <v>3638</v>
      </c>
      <c r="C512" s="24" t="s">
        <v>4443</v>
      </c>
      <c r="D512" s="24" t="s">
        <v>4440</v>
      </c>
      <c r="E512" s="23">
        <v>65</v>
      </c>
      <c r="F512" s="23" t="s">
        <v>1548</v>
      </c>
      <c r="G512" s="25" t="str">
        <f t="shared" ref="G512:G552" si="10">CONCATENATE("('",B512,"','",C512,"','",D512,"','",E512,"','",F512,"'),")</f>
        <v>('TPBLBIO2','Lab Biologi - 2','Wing R','65','l'),</v>
      </c>
      <c r="H512" s="24" t="str">
        <f t="shared" si="9"/>
        <v>TPBLBIO2</v>
      </c>
      <c r="L512" s="9"/>
    </row>
    <row r="513" spans="1:12" ht="13" x14ac:dyDescent="0.3">
      <c r="A513" s="23">
        <v>512</v>
      </c>
      <c r="B513" s="24" t="s">
        <v>3626</v>
      </c>
      <c r="C513" s="24" t="s">
        <v>4444</v>
      </c>
      <c r="D513" s="24" t="s">
        <v>4440</v>
      </c>
      <c r="E513" s="23">
        <v>65</v>
      </c>
      <c r="F513" s="23" t="s">
        <v>1548</v>
      </c>
      <c r="G513" s="25" t="str">
        <f t="shared" si="10"/>
        <v>('TPBLFIS1','Lab Fisika - 1','Wing R','65','l'),</v>
      </c>
      <c r="H513" s="24" t="str">
        <f t="shared" si="9"/>
        <v>TPBLFIS1</v>
      </c>
      <c r="L513" s="9"/>
    </row>
    <row r="514" spans="1:12" ht="13" x14ac:dyDescent="0.3">
      <c r="A514" s="23">
        <v>513</v>
      </c>
      <c r="B514" s="24" t="s">
        <v>4445</v>
      </c>
      <c r="C514" s="24" t="s">
        <v>4446</v>
      </c>
      <c r="D514" s="24" t="s">
        <v>4440</v>
      </c>
      <c r="E514" s="23">
        <v>65</v>
      </c>
      <c r="F514" s="23" t="s">
        <v>1548</v>
      </c>
      <c r="G514" s="25" t="str">
        <f t="shared" si="10"/>
        <v>('TPBLFIS2','Lab Fisika - 2','Wing R','65','l'),</v>
      </c>
      <c r="H514" s="24" t="str">
        <f t="shared" ref="H514:H552" si="11">B514</f>
        <v>TPBLFIS2</v>
      </c>
      <c r="L514" s="9"/>
    </row>
    <row r="515" spans="1:12" ht="13" x14ac:dyDescent="0.3">
      <c r="A515" s="23">
        <v>514</v>
      </c>
      <c r="B515" s="24" t="s">
        <v>3670</v>
      </c>
      <c r="C515" s="24" t="s">
        <v>4439</v>
      </c>
      <c r="D515" s="24" t="s">
        <v>4440</v>
      </c>
      <c r="E515" s="23">
        <v>65</v>
      </c>
      <c r="F515" s="23" t="s">
        <v>1548</v>
      </c>
      <c r="G515" s="25" t="str">
        <f t="shared" si="10"/>
        <v>('TPBLKIM1','Lab Kimia - 1','Wing R','65','l'),</v>
      </c>
      <c r="H515" s="24" t="str">
        <f t="shared" si="11"/>
        <v>TPBLKIM1</v>
      </c>
      <c r="L515" s="9"/>
    </row>
    <row r="516" spans="1:12" ht="13" x14ac:dyDescent="0.3">
      <c r="A516" s="23">
        <v>515</v>
      </c>
      <c r="B516" s="24" t="s">
        <v>3462</v>
      </c>
      <c r="C516" s="24" t="s">
        <v>4447</v>
      </c>
      <c r="D516" s="24" t="s">
        <v>4440</v>
      </c>
      <c r="E516" s="23">
        <v>65</v>
      </c>
      <c r="F516" s="23" t="s">
        <v>1548</v>
      </c>
      <c r="G516" s="25" t="str">
        <f t="shared" si="10"/>
        <v>('TPBLKIM2','Lab Kimia - 2','Wing R','65','l'),</v>
      </c>
      <c r="H516" s="24" t="str">
        <f t="shared" si="11"/>
        <v>TPBLKIM2</v>
      </c>
      <c r="L516" s="9"/>
    </row>
    <row r="517" spans="1:12" ht="13" x14ac:dyDescent="0.3">
      <c r="A517" s="23">
        <v>516</v>
      </c>
      <c r="B517" s="24" t="s">
        <v>3496</v>
      </c>
      <c r="C517" s="24" t="s">
        <v>4448</v>
      </c>
      <c r="D517" s="24" t="s">
        <v>4449</v>
      </c>
      <c r="E517" s="23">
        <v>500</v>
      </c>
      <c r="F517" s="23" t="s">
        <v>1548</v>
      </c>
      <c r="G517" s="25" t="str">
        <f t="shared" si="10"/>
        <v>('X000AGI1','Masjid Al-Hurriyyah','IPB Darmaga','500','l'),</v>
      </c>
      <c r="H517" s="24" t="str">
        <f t="shared" si="11"/>
        <v>X000AGI1</v>
      </c>
      <c r="L517" s="9"/>
    </row>
    <row r="518" spans="1:12" ht="13" x14ac:dyDescent="0.3">
      <c r="A518" s="23">
        <v>517</v>
      </c>
      <c r="B518" s="24" t="s">
        <v>3508</v>
      </c>
      <c r="C518" s="24" t="s">
        <v>4448</v>
      </c>
      <c r="D518" s="24" t="s">
        <v>4449</v>
      </c>
      <c r="E518" s="23">
        <v>300</v>
      </c>
      <c r="F518" s="23" t="s">
        <v>1548</v>
      </c>
      <c r="G518" s="25" t="str">
        <f t="shared" si="10"/>
        <v>('X000AGI2','Masjid Al-Hurriyyah','IPB Darmaga','300','l'),</v>
      </c>
      <c r="H518" s="24" t="str">
        <f t="shared" si="11"/>
        <v>X000AGI2</v>
      </c>
      <c r="L518" s="9"/>
    </row>
    <row r="519" spans="1:12" ht="13" x14ac:dyDescent="0.3">
      <c r="A519" s="23">
        <v>518</v>
      </c>
      <c r="B519" s="24" t="s">
        <v>3515</v>
      </c>
      <c r="C519" s="24" t="s">
        <v>4448</v>
      </c>
      <c r="D519" s="24" t="s">
        <v>4449</v>
      </c>
      <c r="E519" s="23">
        <v>300</v>
      </c>
      <c r="F519" s="23" t="s">
        <v>1548</v>
      </c>
      <c r="G519" s="25" t="str">
        <f t="shared" si="10"/>
        <v>('X000AGI3','Masjid Al-Hurriyyah','IPB Darmaga','300','l'),</v>
      </c>
      <c r="H519" s="24" t="str">
        <f t="shared" si="11"/>
        <v>X000AGI3</v>
      </c>
      <c r="L519" s="9"/>
    </row>
    <row r="520" spans="1:12" ht="13" x14ac:dyDescent="0.3">
      <c r="A520" s="23">
        <v>519</v>
      </c>
      <c r="B520" s="24" t="s">
        <v>4450</v>
      </c>
      <c r="C520" s="24" t="s">
        <v>4448</v>
      </c>
      <c r="D520" s="24" t="s">
        <v>4449</v>
      </c>
      <c r="E520" s="23">
        <v>300</v>
      </c>
      <c r="F520" s="23" t="s">
        <v>1548</v>
      </c>
      <c r="G520" s="25" t="str">
        <f t="shared" si="10"/>
        <v>('X000AGI4','Masjid Al-Hurriyyah','IPB Darmaga','300','l'),</v>
      </c>
      <c r="H520" s="24" t="str">
        <f t="shared" si="11"/>
        <v>X000AGI4</v>
      </c>
      <c r="L520" s="9"/>
    </row>
    <row r="521" spans="1:12" ht="13" x14ac:dyDescent="0.3">
      <c r="A521" s="23">
        <v>520</v>
      </c>
      <c r="B521" s="24" t="s">
        <v>3484</v>
      </c>
      <c r="C521" s="24" t="s">
        <v>4451</v>
      </c>
      <c r="D521" s="24" t="s">
        <v>4452</v>
      </c>
      <c r="E521" s="23">
        <v>150</v>
      </c>
      <c r="F521" s="23" t="s">
        <v>1548</v>
      </c>
      <c r="G521" s="25" t="str">
        <f t="shared" si="10"/>
        <v>('X000ALSI','Auditorium LSI','Lantai 1 Gedung Perpustakaan','150','l'),</v>
      </c>
      <c r="H521" s="24" t="str">
        <f t="shared" si="11"/>
        <v>X000ALSI</v>
      </c>
      <c r="L521" s="9"/>
    </row>
    <row r="522" spans="1:12" ht="13" x14ac:dyDescent="0.3">
      <c r="A522" s="23">
        <v>521</v>
      </c>
      <c r="B522" s="24" t="s">
        <v>3549</v>
      </c>
      <c r="C522" s="24" t="s">
        <v>4448</v>
      </c>
      <c r="D522" s="24" t="s">
        <v>4449</v>
      </c>
      <c r="E522" s="23">
        <v>500</v>
      </c>
      <c r="F522" s="23" t="s">
        <v>1548</v>
      </c>
      <c r="G522" s="25" t="str">
        <f t="shared" si="10"/>
        <v>('X000MASJ','Masjid Al-Hurriyyah','IPB Darmaga','500','l'),</v>
      </c>
      <c r="H522" s="24" t="str">
        <f t="shared" si="11"/>
        <v>X000MASJ</v>
      </c>
      <c r="L522" s="9"/>
    </row>
    <row r="523" spans="1:12" ht="13" x14ac:dyDescent="0.3">
      <c r="A523" s="23">
        <v>522</v>
      </c>
      <c r="B523" s="24" t="s">
        <v>3575</v>
      </c>
      <c r="C523" s="24" t="s">
        <v>4453</v>
      </c>
      <c r="D523" s="24" t="s">
        <v>4454</v>
      </c>
      <c r="E523" s="23">
        <v>50</v>
      </c>
      <c r="F523" s="23" t="s">
        <v>1548</v>
      </c>
      <c r="G523" s="25" t="str">
        <f t="shared" si="10"/>
        <v>('X000PIP1','RK. PIP 1 (MID 1)','Perpustakaan Lt 1','50','l'),</v>
      </c>
      <c r="H523" s="24" t="str">
        <f t="shared" si="11"/>
        <v>X000PIP1</v>
      </c>
      <c r="L523" s="9"/>
    </row>
    <row r="524" spans="1:12" ht="13" x14ac:dyDescent="0.3">
      <c r="A524" s="23">
        <v>523</v>
      </c>
      <c r="B524" s="24" t="s">
        <v>3505</v>
      </c>
      <c r="C524" s="24" t="s">
        <v>4455</v>
      </c>
      <c r="D524" s="24" t="s">
        <v>4454</v>
      </c>
      <c r="E524" s="23">
        <v>50</v>
      </c>
      <c r="F524" s="23" t="s">
        <v>1548</v>
      </c>
      <c r="G524" s="25" t="str">
        <f t="shared" si="10"/>
        <v>('X000PIP2','RK. PIP 2 (MID 2)','Perpustakaan Lt 1','50','l'),</v>
      </c>
      <c r="H524" s="24" t="str">
        <f t="shared" si="11"/>
        <v>X000PIP2</v>
      </c>
      <c r="L524" s="9"/>
    </row>
    <row r="525" spans="1:12" ht="13" x14ac:dyDescent="0.3">
      <c r="A525" s="23">
        <v>524</v>
      </c>
      <c r="B525" s="24" t="s">
        <v>3401</v>
      </c>
      <c r="C525" s="24" t="s">
        <v>4456</v>
      </c>
      <c r="D525" s="24" t="s">
        <v>4457</v>
      </c>
      <c r="E525" s="23">
        <v>0</v>
      </c>
      <c r="F525" s="23" t="s">
        <v>1548</v>
      </c>
      <c r="G525" s="25" t="str">
        <f t="shared" si="10"/>
        <v>('X000RK01','RK. Wisma Pinus 1','Depan GOR Lama','0','l'),</v>
      </c>
      <c r="H525" s="24" t="str">
        <f t="shared" si="11"/>
        <v>X000RK01</v>
      </c>
      <c r="L525" s="9"/>
    </row>
    <row r="526" spans="1:12" ht="13" x14ac:dyDescent="0.3">
      <c r="A526" s="23">
        <v>525</v>
      </c>
      <c r="B526" s="24" t="s">
        <v>3534</v>
      </c>
      <c r="C526" s="24" t="s">
        <v>4458</v>
      </c>
      <c r="D526" s="24" t="s">
        <v>4459</v>
      </c>
      <c r="E526" s="23">
        <v>0</v>
      </c>
      <c r="F526" s="23" t="s">
        <v>1548</v>
      </c>
      <c r="G526" s="25" t="str">
        <f t="shared" si="10"/>
        <v>('X000RK02','RK. Wisma Pinus 2','Fakultas Pertanian/Sylvalestrasi, Depan GOR Lama','0','l'),</v>
      </c>
      <c r="H526" s="24" t="str">
        <f t="shared" si="11"/>
        <v>X000RK02</v>
      </c>
      <c r="L526" s="9"/>
    </row>
    <row r="527" spans="1:12" ht="13" x14ac:dyDescent="0.3">
      <c r="A527" s="23">
        <v>526</v>
      </c>
      <c r="B527" s="24" t="s">
        <v>4460</v>
      </c>
      <c r="C527" s="24" t="s">
        <v>4461</v>
      </c>
      <c r="D527" s="24" t="s">
        <v>4459</v>
      </c>
      <c r="E527" s="23">
        <v>0</v>
      </c>
      <c r="F527" s="23" t="s">
        <v>1548</v>
      </c>
      <c r="G527" s="25" t="str">
        <f t="shared" si="10"/>
        <v>('X000RK03','RK. Wisma Pinus 3','Fakultas Pertanian/Sylvalestrasi, Depan GOR Lama','0','l'),</v>
      </c>
      <c r="H527" s="24" t="str">
        <f t="shared" si="11"/>
        <v>X000RK03</v>
      </c>
      <c r="L527" s="9"/>
    </row>
    <row r="528" spans="1:12" ht="13" x14ac:dyDescent="0.3">
      <c r="A528" s="23">
        <v>527</v>
      </c>
      <c r="B528" s="24" t="s">
        <v>3562</v>
      </c>
      <c r="C528" s="24" t="s">
        <v>4462</v>
      </c>
      <c r="D528" s="24" t="s">
        <v>4463</v>
      </c>
      <c r="E528" s="23">
        <v>0</v>
      </c>
      <c r="F528" s="23" t="s">
        <v>1548</v>
      </c>
      <c r="G528" s="25" t="str">
        <f t="shared" si="10"/>
        <v>('X001ALSI','RK. Perpustakaan','Perpustakaan IPB Lt.4 dekat Cyber Singkong','0','l'),</v>
      </c>
      <c r="H528" s="24" t="str">
        <f t="shared" si="11"/>
        <v>X001ALSI</v>
      </c>
      <c r="L528" s="9"/>
    </row>
    <row r="529" spans="1:12" ht="13" x14ac:dyDescent="0.3">
      <c r="A529" s="23">
        <v>528</v>
      </c>
      <c r="B529" s="24" t="s">
        <v>3635</v>
      </c>
      <c r="C529" s="24" t="s">
        <v>4464</v>
      </c>
      <c r="D529" s="24" t="s">
        <v>4457</v>
      </c>
      <c r="E529" s="23">
        <v>0</v>
      </c>
      <c r="F529" s="23" t="s">
        <v>1548</v>
      </c>
      <c r="G529" s="25" t="str">
        <f t="shared" si="10"/>
        <v>('X-AMARI1','RK. Eks. Asrama Silvasari 1','Depan GOR Lama','0','l'),</v>
      </c>
      <c r="H529" s="24" t="str">
        <f t="shared" si="11"/>
        <v>X-AMARI1</v>
      </c>
      <c r="L529" s="9"/>
    </row>
    <row r="530" spans="1:12" ht="13" x14ac:dyDescent="0.3">
      <c r="A530" s="23">
        <v>529</v>
      </c>
      <c r="B530" s="24" t="s">
        <v>4465</v>
      </c>
      <c r="C530" s="24" t="s">
        <v>4466</v>
      </c>
      <c r="D530" s="24" t="s">
        <v>4457</v>
      </c>
      <c r="E530" s="23">
        <v>0</v>
      </c>
      <c r="F530" s="23" t="s">
        <v>1548</v>
      </c>
      <c r="G530" s="25" t="str">
        <f t="shared" si="10"/>
        <v>('X-AMARI2','RK. Eks. Asrama Silvasari 2','Depan GOR Lama','0','l'),</v>
      </c>
      <c r="H530" s="24" t="str">
        <f t="shared" si="11"/>
        <v>X-AMARI2</v>
      </c>
      <c r="L530" s="9"/>
    </row>
    <row r="531" spans="1:12" ht="13" x14ac:dyDescent="0.3">
      <c r="A531" s="23">
        <v>530</v>
      </c>
      <c r="B531" s="26" t="s">
        <v>2821</v>
      </c>
      <c r="C531" s="26" t="s">
        <v>943</v>
      </c>
      <c r="D531" s="26" t="s">
        <v>4467</v>
      </c>
      <c r="E531" s="62">
        <f>VLOOKUP(C531,Mentah!G:H,2,FALSE)</f>
        <v>60</v>
      </c>
      <c r="F531" s="23" t="s">
        <v>1548</v>
      </c>
      <c r="G531" s="25" t="str">
        <f t="shared" si="10"/>
        <v>('ISTR201','RK. A. SATARI 02.01','Gedung Fakultas Kedokteran lantai 2','60','l'),</v>
      </c>
      <c r="H531" s="24" t="str">
        <f t="shared" si="11"/>
        <v>ISTR201</v>
      </c>
      <c r="L531" s="9"/>
    </row>
    <row r="532" spans="1:12" ht="13" x14ac:dyDescent="0.3">
      <c r="A532" s="23">
        <v>531</v>
      </c>
      <c r="B532" s="26" t="s">
        <v>3013</v>
      </c>
      <c r="C532" s="26" t="s">
        <v>1093</v>
      </c>
      <c r="D532" s="26" t="s">
        <v>4467</v>
      </c>
      <c r="E532" s="62">
        <f>VLOOKUP(C532,Mentah!G:H,2,FALSE)</f>
        <v>30</v>
      </c>
      <c r="F532" s="23" t="s">
        <v>1548</v>
      </c>
      <c r="G532" s="25" t="str">
        <f t="shared" si="10"/>
        <v>('ISTR203','RK. A. SATARI 02.03','Gedung Fakultas Kedokteran lantai 2','30','l'),</v>
      </c>
      <c r="H532" s="24" t="str">
        <f t="shared" si="11"/>
        <v>ISTR203</v>
      </c>
      <c r="L532" s="9"/>
    </row>
    <row r="533" spans="1:12" ht="15.75" customHeight="1" x14ac:dyDescent="0.3">
      <c r="A533" s="23">
        <v>532</v>
      </c>
      <c r="B533" s="29" t="s">
        <v>2836</v>
      </c>
      <c r="C533" s="26" t="s">
        <v>953</v>
      </c>
      <c r="D533" s="26" t="s">
        <v>4467</v>
      </c>
      <c r="E533" s="62">
        <f>VLOOKUP(C533,Mentah!G:H,2,FALSE)</f>
        <v>40</v>
      </c>
      <c r="F533" s="23" t="s">
        <v>1548</v>
      </c>
      <c r="G533" s="25" t="str">
        <f t="shared" si="10"/>
        <v>('ISTR204','RK. A. SATARI 02.04','Gedung Fakultas Kedokteran lantai 2','40','l'),</v>
      </c>
      <c r="H533" s="24" t="str">
        <f t="shared" si="11"/>
        <v>ISTR204</v>
      </c>
      <c r="L533" s="9"/>
    </row>
    <row r="534" spans="1:12" ht="13" x14ac:dyDescent="0.3">
      <c r="A534" s="23">
        <v>533</v>
      </c>
      <c r="B534" s="26" t="s">
        <v>2808</v>
      </c>
      <c r="C534" s="26" t="s">
        <v>932</v>
      </c>
      <c r="D534" s="26" t="s">
        <v>4467</v>
      </c>
      <c r="E534" s="62">
        <f>VLOOKUP(C534,Mentah!G:H,2,FALSE)</f>
        <v>60</v>
      </c>
      <c r="F534" s="23" t="s">
        <v>1548</v>
      </c>
      <c r="G534" s="25" t="str">
        <f t="shared" si="10"/>
        <v>('ISTR205','RK. A. SATARI 02.05','Gedung Fakultas Kedokteran lantai 2','60','l'),</v>
      </c>
      <c r="H534" s="24" t="str">
        <f t="shared" si="11"/>
        <v>ISTR205</v>
      </c>
      <c r="L534" s="9"/>
    </row>
    <row r="535" spans="1:12" ht="13" x14ac:dyDescent="0.3">
      <c r="A535" s="23">
        <v>534</v>
      </c>
      <c r="B535" s="26" t="s">
        <v>3023</v>
      </c>
      <c r="C535" s="26" t="s">
        <v>1101</v>
      </c>
      <c r="D535" s="26" t="s">
        <v>4467</v>
      </c>
      <c r="E535" s="62">
        <f>VLOOKUP(C535,Mentah!G:H,2,FALSE)</f>
        <v>26</v>
      </c>
      <c r="F535" s="23" t="s">
        <v>1548</v>
      </c>
      <c r="G535" s="25" t="str">
        <f t="shared" si="10"/>
        <v>('ISTR209','RK. A. SATARI 02.09','Gedung Fakultas Kedokteran lantai 2','26','l'),</v>
      </c>
      <c r="H535" s="24" t="str">
        <f t="shared" si="11"/>
        <v>ISTR209</v>
      </c>
      <c r="L535" s="9"/>
    </row>
    <row r="536" spans="1:12" ht="13" x14ac:dyDescent="0.3">
      <c r="A536" s="23">
        <v>535</v>
      </c>
      <c r="B536" s="26" t="s">
        <v>3016</v>
      </c>
      <c r="C536" s="9" t="s">
        <v>1096</v>
      </c>
      <c r="D536" s="9" t="s">
        <v>4467</v>
      </c>
      <c r="E536" s="62">
        <f>VLOOKUP(C536,Mentah!G:H,2,FALSE)</f>
        <v>26</v>
      </c>
      <c r="F536" s="23" t="s">
        <v>1548</v>
      </c>
      <c r="G536" s="25" t="str">
        <f t="shared" si="10"/>
        <v>('ISTR210','RK. A. SATARI 02.10','Gedung Fakultas Kedokteran lantai 2','26','l'),</v>
      </c>
      <c r="H536" s="24" t="str">
        <f t="shared" si="11"/>
        <v>ISTR210</v>
      </c>
      <c r="L536" s="9"/>
    </row>
    <row r="537" spans="1:12" ht="13" x14ac:dyDescent="0.3">
      <c r="A537" s="23">
        <v>536</v>
      </c>
      <c r="B537" s="26" t="s">
        <v>2811</v>
      </c>
      <c r="C537" s="9" t="s">
        <v>936</v>
      </c>
      <c r="D537" s="9" t="s">
        <v>4467</v>
      </c>
      <c r="E537" s="62">
        <f>VLOOKUP(C537,Mentah!G:H,2,FALSE)</f>
        <v>70</v>
      </c>
      <c r="F537" s="23" t="s">
        <v>1548</v>
      </c>
      <c r="G537" s="25" t="str">
        <f t="shared" si="10"/>
        <v>('ISTR211','RK. A. SATARI 02.11','Gedung Fakultas Kedokteran lantai 2','70','l'),</v>
      </c>
      <c r="H537" s="24" t="str">
        <f t="shared" si="11"/>
        <v>ISTR211</v>
      </c>
      <c r="L537" s="9"/>
    </row>
    <row r="538" spans="1:12" ht="13" x14ac:dyDescent="0.3">
      <c r="A538" s="23">
        <v>537</v>
      </c>
      <c r="B538" s="26" t="s">
        <v>2831</v>
      </c>
      <c r="C538" s="9" t="s">
        <v>950</v>
      </c>
      <c r="D538" s="9" t="s">
        <v>4468</v>
      </c>
      <c r="E538" s="62">
        <f>VLOOKUP(C538,Mentah!G:H,2,FALSE)</f>
        <v>40</v>
      </c>
      <c r="F538" s="23" t="s">
        <v>1548</v>
      </c>
      <c r="G538" s="25" t="str">
        <f t="shared" si="10"/>
        <v>('ISTR304','RK. A. SATARI 03.04','Gedung Fakultas Kedokteran lantai 3','40','l'),</v>
      </c>
      <c r="H538" s="24" t="str">
        <f t="shared" si="11"/>
        <v>ISTR304</v>
      </c>
      <c r="L538" s="9"/>
    </row>
    <row r="539" spans="1:12" ht="13" x14ac:dyDescent="0.3">
      <c r="A539" s="23">
        <v>538</v>
      </c>
      <c r="B539" s="26" t="s">
        <v>2815</v>
      </c>
      <c r="C539" s="9" t="s">
        <v>940</v>
      </c>
      <c r="D539" s="9" t="s">
        <v>4468</v>
      </c>
      <c r="E539" s="62">
        <f>VLOOKUP(C539,Mentah!G:H,2,FALSE)</f>
        <v>40</v>
      </c>
      <c r="F539" s="23" t="s">
        <v>1548</v>
      </c>
      <c r="G539" s="25" t="str">
        <f t="shared" si="10"/>
        <v>('ISTR306','RK. A. SATARI 03.06','Gedung Fakultas Kedokteran lantai 3','40','l'),</v>
      </c>
      <c r="H539" s="24" t="str">
        <f t="shared" si="11"/>
        <v>ISTR306</v>
      </c>
      <c r="L539" s="9"/>
    </row>
    <row r="540" spans="1:12" ht="13" x14ac:dyDescent="0.3">
      <c r="A540" s="23">
        <v>539</v>
      </c>
      <c r="B540" s="26" t="s">
        <v>2823</v>
      </c>
      <c r="C540" s="9" t="s">
        <v>944</v>
      </c>
      <c r="D540" s="9" t="s">
        <v>4468</v>
      </c>
      <c r="E540" s="62">
        <f>VLOOKUP(C540,Mentah!G:H,2,FALSE)</f>
        <v>40</v>
      </c>
      <c r="F540" s="23" t="s">
        <v>1548</v>
      </c>
      <c r="G540" s="25" t="str">
        <f t="shared" si="10"/>
        <v>('ISTR307','RK. A. SATARI 03.07','Gedung Fakultas Kedokteran lantai 3','40','l'),</v>
      </c>
      <c r="H540" s="24" t="str">
        <f t="shared" si="11"/>
        <v>ISTR307</v>
      </c>
      <c r="L540" s="9"/>
    </row>
    <row r="541" spans="1:12" ht="13" x14ac:dyDescent="0.3">
      <c r="A541" s="23">
        <v>540</v>
      </c>
      <c r="B541" s="26" t="s">
        <v>2833</v>
      </c>
      <c r="C541" s="9" t="s">
        <v>951</v>
      </c>
      <c r="D541" s="9" t="s">
        <v>4468</v>
      </c>
      <c r="E541" s="62">
        <f>VLOOKUP(C541,Mentah!G:H,2,FALSE)</f>
        <v>45</v>
      </c>
      <c r="F541" s="23" t="s">
        <v>1548</v>
      </c>
      <c r="G541" s="25" t="str">
        <f t="shared" si="10"/>
        <v>('ISTR308','RK. A. SATARI 03.08','Gedung Fakultas Kedokteran lantai 3','45','l'),</v>
      </c>
      <c r="H541" s="24" t="str">
        <f t="shared" si="11"/>
        <v>ISTR308</v>
      </c>
      <c r="L541" s="9"/>
    </row>
    <row r="542" spans="1:12" ht="15.75" customHeight="1" x14ac:dyDescent="0.3">
      <c r="A542" s="23">
        <v>541</v>
      </c>
      <c r="B542" s="29" t="s">
        <v>2848</v>
      </c>
      <c r="C542" s="9" t="s">
        <v>960</v>
      </c>
      <c r="D542" s="9" t="s">
        <v>4468</v>
      </c>
      <c r="E542" s="62">
        <f>VLOOKUP(C542,Mentah!G:H,2,FALSE)</f>
        <v>40</v>
      </c>
      <c r="F542" s="23" t="s">
        <v>1548</v>
      </c>
      <c r="G542" s="25" t="str">
        <f t="shared" si="10"/>
        <v>('ISTR309','RK. A. SATARI 03.09','Gedung Fakultas Kedokteran lantai 3','40','l'),</v>
      </c>
      <c r="H542" s="24" t="str">
        <f t="shared" si="11"/>
        <v>ISTR309</v>
      </c>
      <c r="L542" s="9"/>
    </row>
    <row r="543" spans="1:12" ht="13" x14ac:dyDescent="0.3">
      <c r="A543" s="23">
        <v>542</v>
      </c>
      <c r="B543" s="26" t="s">
        <v>2843</v>
      </c>
      <c r="C543" s="9" t="s">
        <v>957</v>
      </c>
      <c r="D543" s="9" t="s">
        <v>4468</v>
      </c>
      <c r="E543" s="62">
        <f>VLOOKUP(C543,Mentah!G:H,2,FALSE)</f>
        <v>40</v>
      </c>
      <c r="F543" s="23" t="s">
        <v>1548</v>
      </c>
      <c r="G543" s="25" t="str">
        <f t="shared" si="10"/>
        <v>('ISTR311','RK. A. SATARI 03.11','Gedung Fakultas Kedokteran lantai 3','40','l'),</v>
      </c>
      <c r="H543" s="24" t="str">
        <f t="shared" si="11"/>
        <v>ISTR311</v>
      </c>
      <c r="L543" s="9"/>
    </row>
    <row r="544" spans="1:12" ht="13" x14ac:dyDescent="0.3">
      <c r="A544" s="23">
        <v>543</v>
      </c>
      <c r="B544" s="26" t="s">
        <v>2660</v>
      </c>
      <c r="C544" s="9" t="s">
        <v>837</v>
      </c>
      <c r="D544" s="9" t="s">
        <v>837</v>
      </c>
      <c r="E544" s="62">
        <f>VLOOKUP(C544,Mentah!G:H,2,FALSE)</f>
        <v>20</v>
      </c>
      <c r="F544" s="62" t="s">
        <v>1548</v>
      </c>
      <c r="G544" s="25" t="str">
        <f t="shared" si="10"/>
        <v>('L0001','R. DURIAN SEAFAST (Kampus IPB Baranang Siang)','R. DURIAN SEAFAST (Kampus IPB Baranang Siang)','20','l'),</v>
      </c>
      <c r="H544" s="24" t="str">
        <f t="shared" si="11"/>
        <v>L0001</v>
      </c>
      <c r="L544" s="9"/>
    </row>
    <row r="545" spans="1:12" ht="13" x14ac:dyDescent="0.3">
      <c r="A545" s="23">
        <v>544</v>
      </c>
      <c r="B545" s="26" t="s">
        <v>2625</v>
      </c>
      <c r="C545" s="9" t="s">
        <v>806</v>
      </c>
      <c r="D545" s="9" t="s">
        <v>806</v>
      </c>
      <c r="E545" s="62">
        <f>VLOOKUP(C545,Mentah!G:H,2,FALSE)</f>
        <v>20</v>
      </c>
      <c r="F545" s="62" t="s">
        <v>1548</v>
      </c>
      <c r="G545" s="25" t="str">
        <f t="shared" si="10"/>
        <v>('L0002','R.Markisa','R.Markisa','20','l'),</v>
      </c>
      <c r="H545" s="24" t="str">
        <f t="shared" si="11"/>
        <v>L0002</v>
      </c>
      <c r="L545" s="9"/>
    </row>
    <row r="546" spans="1:12" ht="13" x14ac:dyDescent="0.3">
      <c r="A546" s="23">
        <v>545</v>
      </c>
      <c r="B546" s="26" t="s">
        <v>2628</v>
      </c>
      <c r="C546" s="9" t="s">
        <v>810</v>
      </c>
      <c r="D546" s="9" t="s">
        <v>810</v>
      </c>
      <c r="E546" s="62">
        <f>VLOOKUP(C546,Mentah!G:H,2,FALSE)</f>
        <v>30</v>
      </c>
      <c r="F546" s="62" t="s">
        <v>1548</v>
      </c>
      <c r="G546" s="25" t="str">
        <f t="shared" si="10"/>
        <v>('L0003','RK. Delima','RK. Delima','30','l'),</v>
      </c>
      <c r="H546" s="24" t="str">
        <f t="shared" si="11"/>
        <v>L0003</v>
      </c>
      <c r="L546" s="9"/>
    </row>
    <row r="547" spans="1:12" ht="13" x14ac:dyDescent="0.3">
      <c r="A547" s="23">
        <v>546</v>
      </c>
      <c r="B547" s="26" t="s">
        <v>2505</v>
      </c>
      <c r="C547" s="9" t="s">
        <v>705</v>
      </c>
      <c r="D547" s="9" t="s">
        <v>705</v>
      </c>
      <c r="E547" s="62">
        <f>VLOOKUP(C547,Mentah!G:H,2,FALSE)</f>
        <v>30</v>
      </c>
      <c r="F547" s="62" t="s">
        <v>1548</v>
      </c>
      <c r="G547" s="25" t="str">
        <f t="shared" si="10"/>
        <v>('L0004','RK. KEPODANG','RK. KEPODANG','30','l'),</v>
      </c>
      <c r="H547" s="24" t="str">
        <f t="shared" si="11"/>
        <v>L0004</v>
      </c>
      <c r="L547" s="9"/>
    </row>
    <row r="548" spans="1:12" ht="13" x14ac:dyDescent="0.3">
      <c r="A548" s="23">
        <v>547</v>
      </c>
      <c r="B548" s="26" t="s">
        <v>2671</v>
      </c>
      <c r="C548" s="9" t="s">
        <v>847</v>
      </c>
      <c r="D548" s="9" t="s">
        <v>847</v>
      </c>
      <c r="E548" s="62">
        <f>VLOOKUP(C548,Mentah!G:H,2,FALSE)</f>
        <v>22</v>
      </c>
      <c r="F548" s="62" t="s">
        <v>1548</v>
      </c>
      <c r="G548" s="25" t="str">
        <f t="shared" si="10"/>
        <v>('L0005','RK. RIAU 2','RK. RIAU 2','22','l'),</v>
      </c>
      <c r="H548" s="24" t="str">
        <f t="shared" si="11"/>
        <v>L0005</v>
      </c>
      <c r="L548" s="9"/>
    </row>
    <row r="549" spans="1:12" ht="13" x14ac:dyDescent="0.3">
      <c r="A549" s="23">
        <v>548</v>
      </c>
      <c r="B549" s="26" t="s">
        <v>2657</v>
      </c>
      <c r="C549" s="9" t="s">
        <v>833</v>
      </c>
      <c r="D549" s="9" t="s">
        <v>833</v>
      </c>
      <c r="E549" s="62">
        <f>VLOOKUP(C549,Mentah!G:H,2,FALSE)</f>
        <v>20</v>
      </c>
      <c r="F549" s="62" t="s">
        <v>1548</v>
      </c>
      <c r="G549" s="25" t="str">
        <f t="shared" si="10"/>
        <v>('L0006','Ruang Belimbing 1 Seafast Kampus BS (PTP)','Ruang Belimbing 1 Seafast Kampus BS (PTP)','20','l'),</v>
      </c>
      <c r="H549" s="24" t="str">
        <f t="shared" si="11"/>
        <v>L0006</v>
      </c>
      <c r="L549" s="9"/>
    </row>
    <row r="550" spans="1:12" ht="13" x14ac:dyDescent="0.3">
      <c r="A550" s="23">
        <v>549</v>
      </c>
      <c r="B550" s="26" t="s">
        <v>2039</v>
      </c>
      <c r="C550" s="9" t="s">
        <v>410</v>
      </c>
      <c r="D550" s="9" t="s">
        <v>410</v>
      </c>
      <c r="E550" s="62">
        <f>VLOOKUP(C550,Mentah!G:H,2,FALSE)</f>
        <v>20</v>
      </c>
      <c r="F550" s="62" t="s">
        <v>1548</v>
      </c>
      <c r="G550" s="25" t="str">
        <f t="shared" si="10"/>
        <v>('L0007','Ruang Diskusi SPL (SPL)','Ruang Diskusi SPL (SPL)','20','l'),</v>
      </c>
      <c r="H550" s="24" t="str">
        <f t="shared" si="11"/>
        <v>L0007</v>
      </c>
      <c r="L550" s="9"/>
    </row>
    <row r="551" spans="1:12" ht="13" x14ac:dyDescent="0.3">
      <c r="A551" s="39">
        <v>550</v>
      </c>
      <c r="B551" s="30" t="s">
        <v>2739</v>
      </c>
      <c r="C551" s="9" t="s">
        <v>888</v>
      </c>
      <c r="D551" s="9" t="s">
        <v>888</v>
      </c>
      <c r="E551" s="63">
        <f>VLOOKUP(C551,Mentah!G:H,2,FALSE)</f>
        <v>20</v>
      </c>
      <c r="F551" s="63" t="s">
        <v>1548</v>
      </c>
      <c r="G551" s="31" t="str">
        <f t="shared" si="10"/>
        <v>('L0008','Ruang Kuliah PS BTK','Ruang Kuliah PS BTK','20','l'),</v>
      </c>
      <c r="H551" s="33" t="str">
        <f t="shared" si="11"/>
        <v>L0008</v>
      </c>
      <c r="L551" s="9"/>
    </row>
    <row r="552" spans="1:12" ht="13" x14ac:dyDescent="0.3">
      <c r="A552" s="40">
        <v>551</v>
      </c>
      <c r="B552" s="35" t="s">
        <v>2206</v>
      </c>
      <c r="C552" s="35" t="s">
        <v>518</v>
      </c>
      <c r="D552" s="36" t="s">
        <v>518</v>
      </c>
      <c r="E552" s="44">
        <f>VLOOKUP(C552,Mentah!G:H,2,FALSE)</f>
        <v>10</v>
      </c>
      <c r="F552" s="44" t="s">
        <v>1548</v>
      </c>
      <c r="G552" s="37" t="str">
        <f t="shared" si="10"/>
        <v>('L0009','Ruang Handliner','Ruang Handliner','10','l'),</v>
      </c>
      <c r="H552" s="34" t="str">
        <f t="shared" si="11"/>
        <v>L0009</v>
      </c>
      <c r="L552" s="9"/>
    </row>
    <row r="553" spans="1:12" ht="13" x14ac:dyDescent="0.3">
      <c r="B553" s="9"/>
      <c r="C553" s="9"/>
      <c r="D553" s="9"/>
      <c r="E553" s="16"/>
      <c r="F553" s="16"/>
      <c r="G553" s="32"/>
      <c r="H553" s="38"/>
      <c r="L553" s="9"/>
    </row>
    <row r="554" spans="1:12" ht="13" x14ac:dyDescent="0.3">
      <c r="B554" s="9"/>
      <c r="C554" s="9"/>
      <c r="D554" s="9"/>
      <c r="E554" s="16"/>
      <c r="F554" s="16"/>
      <c r="G554" s="32"/>
      <c r="H554" s="9"/>
      <c r="L554" s="9"/>
    </row>
    <row r="555" spans="1:12" ht="13" x14ac:dyDescent="0.3">
      <c r="B555" s="9"/>
      <c r="C555" s="9"/>
      <c r="D555" s="9"/>
      <c r="E555" s="16"/>
      <c r="F555" s="16"/>
      <c r="G555" s="32"/>
      <c r="H555" s="9"/>
      <c r="L555" s="9"/>
    </row>
    <row r="556" spans="1:12" ht="13" x14ac:dyDescent="0.3">
      <c r="B556" s="9"/>
      <c r="C556" s="9"/>
      <c r="D556" s="9"/>
      <c r="E556" s="16"/>
      <c r="F556" s="16"/>
      <c r="G556" s="32"/>
      <c r="H556" s="9"/>
      <c r="L556" s="9"/>
    </row>
    <row r="557" spans="1:12" ht="13" x14ac:dyDescent="0.3">
      <c r="B557" s="9"/>
      <c r="C557" s="9"/>
      <c r="D557" s="9"/>
      <c r="E557" s="16"/>
      <c r="F557" s="16"/>
      <c r="G557" s="32"/>
      <c r="H557" s="9"/>
      <c r="L557" s="9"/>
    </row>
    <row r="558" spans="1:12" ht="13" x14ac:dyDescent="0.3">
      <c r="B558" s="9"/>
      <c r="C558" s="9"/>
      <c r="D558" s="9"/>
      <c r="E558" s="16"/>
      <c r="F558" s="16"/>
      <c r="G558" s="32"/>
      <c r="H558" s="9"/>
      <c r="L558" s="9"/>
    </row>
    <row r="559" spans="1:12" ht="13" x14ac:dyDescent="0.3">
      <c r="B559" s="9"/>
      <c r="C559" s="9"/>
      <c r="D559" s="9"/>
      <c r="E559" s="16"/>
      <c r="F559" s="16"/>
      <c r="G559" s="32"/>
      <c r="H559" s="9"/>
      <c r="L559" s="9"/>
    </row>
    <row r="560" spans="1:12" ht="13" x14ac:dyDescent="0.3">
      <c r="B560" s="9"/>
      <c r="C560" s="9"/>
      <c r="D560" s="9"/>
      <c r="E560" s="16"/>
      <c r="F560" s="16"/>
      <c r="G560" s="32"/>
      <c r="H560" s="9"/>
      <c r="L560" s="9"/>
    </row>
    <row r="561" spans="2:12" ht="13" x14ac:dyDescent="0.3">
      <c r="B561" s="9"/>
      <c r="C561" s="9"/>
      <c r="D561" s="9"/>
      <c r="E561" s="16"/>
      <c r="F561" s="16"/>
      <c r="G561" s="32"/>
      <c r="H561" s="9"/>
      <c r="L561" s="9"/>
    </row>
    <row r="562" spans="2:12" ht="13" x14ac:dyDescent="0.3">
      <c r="B562" s="9"/>
      <c r="C562" s="9"/>
      <c r="D562" s="9"/>
      <c r="E562" s="16"/>
      <c r="F562" s="16"/>
      <c r="G562" s="32"/>
      <c r="H562" s="9"/>
      <c r="L562" s="9"/>
    </row>
    <row r="563" spans="2:12" ht="13" x14ac:dyDescent="0.3">
      <c r="B563" s="9"/>
      <c r="C563" s="9"/>
      <c r="D563" s="9"/>
      <c r="E563" s="16"/>
      <c r="F563" s="16"/>
      <c r="G563" s="32"/>
      <c r="H563" s="9"/>
      <c r="L563" s="9"/>
    </row>
    <row r="564" spans="2:12" ht="13" x14ac:dyDescent="0.3">
      <c r="B564" s="9"/>
      <c r="C564" s="9"/>
      <c r="D564" s="9"/>
      <c r="E564" s="16"/>
      <c r="F564" s="16"/>
      <c r="G564" s="32"/>
      <c r="H564" s="9"/>
      <c r="L564" s="9"/>
    </row>
    <row r="565" spans="2:12" ht="13" x14ac:dyDescent="0.3">
      <c r="B565" s="9"/>
      <c r="C565" s="9"/>
      <c r="D565" s="9"/>
      <c r="E565" s="16"/>
      <c r="F565" s="16"/>
      <c r="G565" s="32"/>
      <c r="H565" s="9"/>
      <c r="L565" s="9"/>
    </row>
    <row r="566" spans="2:12" ht="13" x14ac:dyDescent="0.3">
      <c r="B566" s="9"/>
      <c r="C566" s="9"/>
      <c r="D566" s="9"/>
      <c r="E566" s="16"/>
      <c r="F566" s="16"/>
      <c r="G566" s="32"/>
      <c r="H566" s="9"/>
      <c r="L566" s="9"/>
    </row>
    <row r="567" spans="2:12" ht="13" x14ac:dyDescent="0.3">
      <c r="B567" s="9"/>
      <c r="C567" s="9"/>
      <c r="D567" s="9"/>
      <c r="E567" s="16"/>
      <c r="F567" s="16"/>
      <c r="G567" s="32"/>
      <c r="H567" s="9"/>
      <c r="L567" s="9"/>
    </row>
    <row r="568" spans="2:12" ht="13" x14ac:dyDescent="0.3">
      <c r="B568" s="9"/>
      <c r="C568" s="9"/>
      <c r="D568" s="9"/>
      <c r="E568" s="16"/>
      <c r="F568" s="16"/>
      <c r="G568" s="32"/>
      <c r="H568" s="9"/>
      <c r="L568" s="9"/>
    </row>
    <row r="569" spans="2:12" ht="13" x14ac:dyDescent="0.3">
      <c r="B569" s="9"/>
      <c r="C569" s="9"/>
      <c r="D569" s="9"/>
      <c r="E569" s="16"/>
      <c r="F569" s="16"/>
      <c r="G569" s="32"/>
      <c r="H569" s="9"/>
      <c r="L569" s="9"/>
    </row>
    <row r="570" spans="2:12" ht="13" x14ac:dyDescent="0.3">
      <c r="B570" s="9"/>
      <c r="C570" s="9"/>
      <c r="D570" s="9"/>
      <c r="E570" s="16"/>
      <c r="F570" s="16"/>
      <c r="G570" s="32"/>
      <c r="H570" s="9"/>
      <c r="L570" s="9"/>
    </row>
    <row r="571" spans="2:12" ht="13" x14ac:dyDescent="0.3">
      <c r="B571" s="9"/>
      <c r="C571" s="9"/>
      <c r="D571" s="9"/>
      <c r="E571" s="16"/>
      <c r="F571" s="16"/>
      <c r="G571" s="32"/>
      <c r="H571" s="9"/>
      <c r="L571" s="9"/>
    </row>
    <row r="572" spans="2:12" ht="13" x14ac:dyDescent="0.3">
      <c r="B572" s="9"/>
      <c r="C572" s="9"/>
      <c r="D572" s="9"/>
      <c r="E572" s="16"/>
      <c r="F572" s="16"/>
      <c r="G572" s="32"/>
      <c r="H572" s="9"/>
      <c r="L572" s="9"/>
    </row>
    <row r="573" spans="2:12" ht="13" x14ac:dyDescent="0.3">
      <c r="B573" s="9"/>
      <c r="C573" s="9"/>
      <c r="D573" s="9"/>
      <c r="E573" s="16"/>
      <c r="F573" s="16"/>
      <c r="G573" s="32"/>
      <c r="H573" s="9"/>
      <c r="L573" s="9"/>
    </row>
    <row r="574" spans="2:12" ht="13" x14ac:dyDescent="0.3">
      <c r="B574" s="9"/>
      <c r="C574" s="9"/>
      <c r="D574" s="9"/>
      <c r="E574" s="16"/>
      <c r="F574" s="16"/>
      <c r="G574" s="32"/>
      <c r="H574" s="9"/>
      <c r="L574" s="9"/>
    </row>
    <row r="575" spans="2:12" ht="13" x14ac:dyDescent="0.3">
      <c r="B575" s="9"/>
      <c r="C575" s="9"/>
      <c r="D575" s="9"/>
      <c r="E575" s="16"/>
      <c r="F575" s="16"/>
      <c r="G575" s="32"/>
      <c r="H575" s="9"/>
      <c r="L575" s="9"/>
    </row>
    <row r="576" spans="2:12" ht="13" x14ac:dyDescent="0.3">
      <c r="B576" s="9"/>
      <c r="C576" s="9"/>
      <c r="D576" s="9"/>
      <c r="E576" s="16"/>
      <c r="F576" s="16"/>
      <c r="G576" s="32"/>
      <c r="H576" s="9"/>
      <c r="L576" s="9"/>
    </row>
    <row r="577" spans="2:12" ht="13" x14ac:dyDescent="0.3">
      <c r="B577" s="9"/>
      <c r="C577" s="9"/>
      <c r="D577" s="9"/>
      <c r="E577" s="16"/>
      <c r="F577" s="16"/>
      <c r="G577" s="32"/>
      <c r="H577" s="9"/>
      <c r="L577" s="9"/>
    </row>
    <row r="578" spans="2:12" ht="13" x14ac:dyDescent="0.3">
      <c r="B578" s="9"/>
      <c r="C578" s="9"/>
      <c r="D578" s="9"/>
      <c r="E578" s="16"/>
      <c r="F578" s="16"/>
      <c r="G578" s="32"/>
      <c r="H578" s="9"/>
      <c r="L578" s="9"/>
    </row>
    <row r="579" spans="2:12" ht="13" x14ac:dyDescent="0.3">
      <c r="B579" s="9"/>
      <c r="C579" s="9"/>
      <c r="D579" s="9"/>
      <c r="E579" s="16"/>
      <c r="F579" s="16"/>
      <c r="G579" s="32"/>
      <c r="H579" s="9"/>
      <c r="L579" s="9"/>
    </row>
    <row r="580" spans="2:12" ht="13" x14ac:dyDescent="0.3">
      <c r="B580" s="9"/>
      <c r="C580" s="9"/>
      <c r="D580" s="9"/>
      <c r="E580" s="16"/>
      <c r="F580" s="16"/>
      <c r="G580" s="32"/>
      <c r="H580" s="9"/>
      <c r="L580" s="9"/>
    </row>
    <row r="581" spans="2:12" ht="13" x14ac:dyDescent="0.3">
      <c r="B581" s="9"/>
      <c r="C581" s="9"/>
      <c r="D581" s="9"/>
      <c r="E581" s="16"/>
      <c r="F581" s="16"/>
      <c r="G581" s="32"/>
      <c r="H581" s="9"/>
      <c r="L581" s="9"/>
    </row>
    <row r="582" spans="2:12" ht="13" x14ac:dyDescent="0.3">
      <c r="B582" s="9"/>
      <c r="C582" s="9"/>
      <c r="D582" s="9"/>
      <c r="E582" s="16"/>
      <c r="F582" s="16"/>
      <c r="G582" s="32"/>
      <c r="H582" s="9"/>
      <c r="L582" s="9"/>
    </row>
    <row r="583" spans="2:12" ht="13" x14ac:dyDescent="0.3">
      <c r="B583" s="9"/>
      <c r="C583" s="9"/>
      <c r="D583" s="9"/>
      <c r="E583" s="16"/>
      <c r="F583" s="16"/>
      <c r="G583" s="32"/>
      <c r="H583" s="9"/>
      <c r="L583" s="9"/>
    </row>
    <row r="584" spans="2:12" ht="13" x14ac:dyDescent="0.3">
      <c r="B584" s="9"/>
      <c r="C584" s="9"/>
      <c r="D584" s="9"/>
      <c r="E584" s="16"/>
      <c r="F584" s="16"/>
      <c r="G584" s="32"/>
      <c r="H584" s="9"/>
      <c r="L584" s="9"/>
    </row>
    <row r="585" spans="2:12" ht="13" x14ac:dyDescent="0.3">
      <c r="B585" s="9"/>
      <c r="C585" s="9"/>
      <c r="D585" s="9"/>
      <c r="E585" s="16"/>
      <c r="F585" s="16"/>
      <c r="G585" s="32"/>
      <c r="H585" s="9"/>
      <c r="L585" s="9"/>
    </row>
    <row r="586" spans="2:12" ht="13" x14ac:dyDescent="0.3">
      <c r="B586" s="9"/>
      <c r="C586" s="9"/>
      <c r="D586" s="9"/>
      <c r="E586" s="16"/>
      <c r="F586" s="16"/>
      <c r="G586" s="32"/>
      <c r="H586" s="9"/>
      <c r="L586" s="9"/>
    </row>
    <row r="587" spans="2:12" ht="13" x14ac:dyDescent="0.3">
      <c r="B587" s="9"/>
      <c r="C587" s="9"/>
      <c r="D587" s="9"/>
      <c r="E587" s="16"/>
      <c r="F587" s="16"/>
      <c r="G587" s="32"/>
      <c r="H587" s="9"/>
      <c r="L587" s="9"/>
    </row>
    <row r="588" spans="2:12" ht="13" x14ac:dyDescent="0.3">
      <c r="B588" s="9"/>
      <c r="C588" s="9"/>
      <c r="D588" s="9"/>
      <c r="E588" s="16"/>
      <c r="F588" s="16"/>
      <c r="G588" s="32"/>
      <c r="H588" s="9"/>
      <c r="L588" s="9"/>
    </row>
    <row r="589" spans="2:12" ht="13" x14ac:dyDescent="0.3">
      <c r="B589" s="9"/>
      <c r="C589" s="9"/>
      <c r="D589" s="9"/>
      <c r="E589" s="16"/>
      <c r="F589" s="16"/>
      <c r="G589" s="32"/>
      <c r="H589" s="9"/>
      <c r="L589" s="9"/>
    </row>
    <row r="590" spans="2:12" ht="13" x14ac:dyDescent="0.3">
      <c r="B590" s="9"/>
      <c r="C590" s="9"/>
      <c r="D590" s="9"/>
      <c r="E590" s="16"/>
      <c r="F590" s="16"/>
      <c r="G590" s="32"/>
      <c r="H590" s="9"/>
      <c r="L590" s="9"/>
    </row>
    <row r="591" spans="2:12" ht="13" x14ac:dyDescent="0.3">
      <c r="B591" s="9"/>
      <c r="C591" s="9"/>
      <c r="D591" s="9"/>
      <c r="E591" s="16"/>
      <c r="F591" s="16"/>
      <c r="G591" s="32"/>
      <c r="H591" s="9"/>
      <c r="L591" s="9"/>
    </row>
    <row r="592" spans="2:12" ht="13" x14ac:dyDescent="0.3">
      <c r="B592" s="9"/>
      <c r="C592" s="9"/>
      <c r="D592" s="9"/>
      <c r="E592" s="16"/>
      <c r="F592" s="16"/>
      <c r="G592" s="32"/>
      <c r="H592" s="9"/>
      <c r="L592" s="9"/>
    </row>
    <row r="593" spans="2:12" ht="13" x14ac:dyDescent="0.3">
      <c r="B593" s="9"/>
      <c r="C593" s="9"/>
      <c r="D593" s="9"/>
      <c r="E593" s="16"/>
      <c r="F593" s="16"/>
      <c r="G593" s="32"/>
      <c r="H593" s="9"/>
      <c r="L593" s="9"/>
    </row>
    <row r="594" spans="2:12" ht="13" x14ac:dyDescent="0.3">
      <c r="B594" s="9"/>
      <c r="C594" s="9"/>
      <c r="D594" s="9"/>
      <c r="E594" s="16"/>
      <c r="F594" s="16"/>
      <c r="G594" s="32"/>
      <c r="H594" s="9"/>
      <c r="L594" s="9"/>
    </row>
    <row r="595" spans="2:12" ht="13" x14ac:dyDescent="0.3">
      <c r="B595" s="9"/>
      <c r="C595" s="9"/>
      <c r="D595" s="9"/>
      <c r="E595" s="16"/>
      <c r="F595" s="16"/>
      <c r="G595" s="32"/>
      <c r="H595" s="9"/>
      <c r="L595" s="9"/>
    </row>
    <row r="596" spans="2:12" ht="13" x14ac:dyDescent="0.3">
      <c r="B596" s="9"/>
      <c r="C596" s="9"/>
      <c r="D596" s="9"/>
      <c r="E596" s="16"/>
      <c r="F596" s="16"/>
      <c r="G596" s="32"/>
      <c r="H596" s="9"/>
      <c r="L596" s="9"/>
    </row>
    <row r="597" spans="2:12" ht="13" x14ac:dyDescent="0.3">
      <c r="B597" s="9"/>
      <c r="C597" s="9"/>
      <c r="D597" s="9"/>
      <c r="E597" s="16"/>
      <c r="F597" s="16"/>
      <c r="G597" s="32"/>
      <c r="H597" s="9"/>
      <c r="L597" s="9"/>
    </row>
    <row r="598" spans="2:12" ht="13" x14ac:dyDescent="0.3">
      <c r="B598" s="9"/>
      <c r="C598" s="9"/>
      <c r="D598" s="9"/>
      <c r="E598" s="16"/>
      <c r="F598" s="16"/>
      <c r="G598" s="32"/>
      <c r="H598" s="9"/>
      <c r="L598" s="9"/>
    </row>
    <row r="599" spans="2:12" ht="13" x14ac:dyDescent="0.3">
      <c r="B599" s="9"/>
      <c r="C599" s="9"/>
      <c r="D599" s="9"/>
      <c r="E599" s="16"/>
      <c r="F599" s="16"/>
      <c r="G599" s="32"/>
      <c r="H599" s="9"/>
      <c r="L599" s="9"/>
    </row>
    <row r="600" spans="2:12" ht="13" x14ac:dyDescent="0.3">
      <c r="B600" s="9"/>
      <c r="C600" s="9"/>
      <c r="D600" s="9"/>
      <c r="E600" s="16"/>
      <c r="F600" s="16"/>
      <c r="G600" s="32"/>
      <c r="H600" s="9"/>
      <c r="L600" s="9"/>
    </row>
    <row r="601" spans="2:12" ht="13" x14ac:dyDescent="0.3">
      <c r="B601" s="9"/>
      <c r="C601" s="9"/>
      <c r="D601" s="9"/>
      <c r="E601" s="16"/>
      <c r="F601" s="16"/>
      <c r="G601" s="32"/>
      <c r="H601" s="9"/>
      <c r="L601" s="9"/>
    </row>
    <row r="602" spans="2:12" ht="13" x14ac:dyDescent="0.3">
      <c r="B602" s="9"/>
      <c r="C602" s="9"/>
      <c r="D602" s="9"/>
      <c r="E602" s="16"/>
      <c r="F602" s="16"/>
      <c r="G602" s="32"/>
      <c r="H602" s="9"/>
      <c r="L602" s="9"/>
    </row>
    <row r="603" spans="2:12" ht="13" x14ac:dyDescent="0.3">
      <c r="B603" s="9"/>
      <c r="C603" s="9"/>
      <c r="D603" s="9"/>
      <c r="E603" s="16"/>
      <c r="F603" s="16"/>
      <c r="G603" s="32"/>
      <c r="H603" s="9"/>
      <c r="L603" s="9"/>
    </row>
    <row r="604" spans="2:12" ht="13" x14ac:dyDescent="0.3">
      <c r="B604" s="9"/>
      <c r="C604" s="9"/>
      <c r="D604" s="9"/>
      <c r="E604" s="16"/>
      <c r="F604" s="16"/>
      <c r="G604" s="32"/>
      <c r="H604" s="9"/>
      <c r="L604" s="9"/>
    </row>
    <row r="605" spans="2:12" ht="13" x14ac:dyDescent="0.3">
      <c r="B605" s="9"/>
      <c r="C605" s="9"/>
      <c r="D605" s="9"/>
      <c r="E605" s="16"/>
      <c r="F605" s="16"/>
      <c r="G605" s="32"/>
      <c r="H605" s="9"/>
      <c r="L605" s="9"/>
    </row>
    <row r="606" spans="2:12" ht="13" x14ac:dyDescent="0.3">
      <c r="B606" s="9"/>
      <c r="C606" s="9"/>
      <c r="D606" s="9"/>
      <c r="E606" s="16"/>
      <c r="F606" s="16"/>
      <c r="G606" s="32"/>
      <c r="H606" s="9"/>
      <c r="L606" s="9"/>
    </row>
    <row r="607" spans="2:12" ht="13" x14ac:dyDescent="0.3">
      <c r="B607" s="9"/>
      <c r="C607" s="9"/>
      <c r="D607" s="9"/>
      <c r="E607" s="16"/>
      <c r="F607" s="16"/>
      <c r="G607" s="32"/>
      <c r="H607" s="9"/>
      <c r="L607" s="9"/>
    </row>
    <row r="608" spans="2:12" ht="13" x14ac:dyDescent="0.3">
      <c r="B608" s="9"/>
      <c r="C608" s="9"/>
      <c r="D608" s="9"/>
      <c r="E608" s="16"/>
      <c r="F608" s="16"/>
      <c r="G608" s="32"/>
      <c r="H608" s="9"/>
      <c r="L608" s="9"/>
    </row>
    <row r="609" spans="2:12" ht="13" x14ac:dyDescent="0.3">
      <c r="B609" s="9"/>
      <c r="C609" s="9"/>
      <c r="D609" s="9"/>
      <c r="E609" s="16"/>
      <c r="F609" s="16"/>
      <c r="G609" s="32"/>
      <c r="H609" s="9"/>
      <c r="L609" s="9"/>
    </row>
    <row r="610" spans="2:12" ht="13" x14ac:dyDescent="0.3">
      <c r="B610" s="9"/>
      <c r="C610" s="9"/>
      <c r="D610" s="9"/>
      <c r="E610" s="16"/>
      <c r="F610" s="16"/>
      <c r="G610" s="32"/>
      <c r="H610" s="9"/>
      <c r="L610" s="9"/>
    </row>
    <row r="611" spans="2:12" ht="13" x14ac:dyDescent="0.3">
      <c r="B611" s="9"/>
      <c r="C611" s="9"/>
      <c r="D611" s="9"/>
      <c r="E611" s="16"/>
      <c r="F611" s="16"/>
      <c r="G611" s="32"/>
      <c r="H611" s="9"/>
      <c r="L611" s="9"/>
    </row>
    <row r="612" spans="2:12" ht="13" x14ac:dyDescent="0.3">
      <c r="B612" s="9"/>
      <c r="C612" s="9"/>
      <c r="D612" s="9"/>
      <c r="E612" s="16"/>
      <c r="F612" s="16"/>
      <c r="G612" s="32"/>
      <c r="H612" s="9"/>
      <c r="L612" s="9"/>
    </row>
    <row r="613" spans="2:12" ht="13" x14ac:dyDescent="0.3">
      <c r="B613" s="9"/>
      <c r="C613" s="9"/>
      <c r="D613" s="9"/>
      <c r="E613" s="16"/>
      <c r="F613" s="16"/>
      <c r="G613" s="32"/>
      <c r="H613" s="9"/>
      <c r="L613" s="9"/>
    </row>
    <row r="614" spans="2:12" ht="13" x14ac:dyDescent="0.3">
      <c r="B614" s="9"/>
      <c r="C614" s="9"/>
      <c r="D614" s="9"/>
      <c r="E614" s="16"/>
      <c r="F614" s="16"/>
      <c r="G614" s="32"/>
      <c r="H614" s="9"/>
      <c r="L614" s="9"/>
    </row>
    <row r="615" spans="2:12" ht="13" x14ac:dyDescent="0.3">
      <c r="B615" s="9"/>
      <c r="C615" s="9"/>
      <c r="D615" s="9"/>
      <c r="E615" s="16"/>
      <c r="F615" s="16"/>
      <c r="G615" s="32"/>
      <c r="H615" s="9"/>
      <c r="L615" s="9"/>
    </row>
    <row r="616" spans="2:12" ht="13" x14ac:dyDescent="0.3">
      <c r="B616" s="9"/>
      <c r="C616" s="9"/>
      <c r="D616" s="9"/>
      <c r="E616" s="16"/>
      <c r="F616" s="16"/>
      <c r="G616" s="32"/>
      <c r="H616" s="9"/>
      <c r="L616" s="9"/>
    </row>
    <row r="617" spans="2:12" ht="13" x14ac:dyDescent="0.3">
      <c r="B617" s="9"/>
      <c r="C617" s="9"/>
      <c r="D617" s="9"/>
      <c r="E617" s="16"/>
      <c r="F617" s="16"/>
      <c r="G617" s="32"/>
      <c r="H617" s="9"/>
      <c r="L617" s="9"/>
    </row>
    <row r="618" spans="2:12" ht="13" x14ac:dyDescent="0.3">
      <c r="B618" s="9"/>
      <c r="C618" s="9"/>
      <c r="D618" s="9"/>
      <c r="E618" s="16"/>
      <c r="F618" s="16"/>
      <c r="G618" s="32"/>
      <c r="H618" s="9"/>
      <c r="L618" s="9"/>
    </row>
    <row r="619" spans="2:12" ht="13" x14ac:dyDescent="0.3">
      <c r="B619" s="9"/>
      <c r="C619" s="9"/>
      <c r="D619" s="9"/>
      <c r="E619" s="16"/>
      <c r="F619" s="16"/>
      <c r="G619" s="32"/>
      <c r="H619" s="9"/>
      <c r="L619" s="9"/>
    </row>
    <row r="620" spans="2:12" ht="13" x14ac:dyDescent="0.3">
      <c r="B620" s="9"/>
      <c r="C620" s="9"/>
      <c r="D620" s="9"/>
      <c r="E620" s="16"/>
      <c r="F620" s="16"/>
      <c r="G620" s="32"/>
      <c r="H620" s="9"/>
      <c r="L620" s="9"/>
    </row>
    <row r="621" spans="2:12" ht="13" x14ac:dyDescent="0.3">
      <c r="B621" s="9"/>
      <c r="C621" s="9"/>
      <c r="D621" s="9"/>
      <c r="E621" s="16"/>
      <c r="F621" s="16"/>
      <c r="G621" s="32"/>
      <c r="H621" s="9"/>
      <c r="L621" s="9"/>
    </row>
    <row r="622" spans="2:12" ht="13" x14ac:dyDescent="0.3">
      <c r="B622" s="9"/>
      <c r="C622" s="9"/>
      <c r="D622" s="9"/>
      <c r="E622" s="16"/>
      <c r="F622" s="16"/>
      <c r="G622" s="32"/>
      <c r="H622" s="9"/>
      <c r="L622" s="9"/>
    </row>
    <row r="623" spans="2:12" ht="13" x14ac:dyDescent="0.3">
      <c r="B623" s="9"/>
      <c r="C623" s="9"/>
      <c r="D623" s="9"/>
      <c r="E623" s="16"/>
      <c r="F623" s="16"/>
      <c r="G623" s="32"/>
      <c r="H623" s="9"/>
      <c r="L623" s="9"/>
    </row>
    <row r="624" spans="2:12" ht="13" x14ac:dyDescent="0.3">
      <c r="B624" s="9"/>
      <c r="C624" s="9"/>
      <c r="D624" s="9"/>
      <c r="E624" s="16"/>
      <c r="F624" s="16"/>
      <c r="G624" s="32"/>
      <c r="H624" s="9"/>
      <c r="L624" s="9"/>
    </row>
    <row r="625" spans="2:12" ht="13" x14ac:dyDescent="0.3">
      <c r="B625" s="9"/>
      <c r="C625" s="9"/>
      <c r="D625" s="9"/>
      <c r="E625" s="16"/>
      <c r="F625" s="16"/>
      <c r="G625" s="32"/>
      <c r="H625" s="9"/>
      <c r="L625" s="9"/>
    </row>
    <row r="626" spans="2:12" ht="13" x14ac:dyDescent="0.3">
      <c r="B626" s="9"/>
      <c r="C626" s="9"/>
      <c r="D626" s="9"/>
      <c r="E626" s="16"/>
      <c r="F626" s="16"/>
      <c r="G626" s="32"/>
      <c r="H626" s="9"/>
      <c r="L626" s="9"/>
    </row>
    <row r="627" spans="2:12" ht="13" x14ac:dyDescent="0.3">
      <c r="B627" s="9"/>
      <c r="C627" s="9"/>
      <c r="D627" s="9"/>
      <c r="E627" s="16"/>
      <c r="F627" s="16"/>
      <c r="G627" s="32"/>
      <c r="H627" s="9"/>
      <c r="L627" s="9"/>
    </row>
    <row r="628" spans="2:12" ht="13" x14ac:dyDescent="0.3">
      <c r="B628" s="9"/>
      <c r="C628" s="9"/>
      <c r="D628" s="9"/>
      <c r="E628" s="16"/>
      <c r="F628" s="16"/>
      <c r="G628" s="32"/>
      <c r="H628" s="9"/>
      <c r="L628" s="9"/>
    </row>
    <row r="629" spans="2:12" ht="13" x14ac:dyDescent="0.3">
      <c r="B629" s="9"/>
      <c r="C629" s="9"/>
      <c r="D629" s="9"/>
      <c r="E629" s="16"/>
      <c r="F629" s="16"/>
      <c r="G629" s="32"/>
      <c r="H629" s="9"/>
      <c r="L629" s="9"/>
    </row>
    <row r="630" spans="2:12" ht="13" x14ac:dyDescent="0.3">
      <c r="B630" s="9"/>
      <c r="C630" s="9"/>
      <c r="D630" s="9"/>
      <c r="E630" s="16"/>
      <c r="F630" s="16"/>
      <c r="G630" s="32"/>
      <c r="H630" s="9"/>
      <c r="L630" s="9"/>
    </row>
    <row r="631" spans="2:12" ht="13" x14ac:dyDescent="0.3">
      <c r="B631" s="9"/>
      <c r="C631" s="9"/>
      <c r="D631" s="9"/>
      <c r="E631" s="16"/>
      <c r="F631" s="16"/>
      <c r="G631" s="32"/>
      <c r="H631" s="9"/>
      <c r="L631" s="9"/>
    </row>
    <row r="632" spans="2:12" ht="13" x14ac:dyDescent="0.3">
      <c r="B632" s="9"/>
      <c r="C632" s="9"/>
      <c r="D632" s="9"/>
      <c r="E632" s="16"/>
      <c r="F632" s="16"/>
      <c r="G632" s="32"/>
      <c r="H632" s="9"/>
      <c r="L632" s="9"/>
    </row>
    <row r="633" spans="2:12" ht="13" x14ac:dyDescent="0.3">
      <c r="B633" s="9"/>
      <c r="C633" s="9"/>
      <c r="D633" s="9"/>
      <c r="E633" s="16"/>
      <c r="F633" s="16"/>
      <c r="G633" s="32"/>
      <c r="H633" s="9"/>
      <c r="L633" s="9"/>
    </row>
    <row r="634" spans="2:12" ht="13" x14ac:dyDescent="0.3">
      <c r="B634" s="9"/>
      <c r="C634" s="9"/>
      <c r="D634" s="9"/>
      <c r="E634" s="16"/>
      <c r="F634" s="16"/>
      <c r="G634" s="32"/>
      <c r="H634" s="9"/>
      <c r="L634" s="9"/>
    </row>
    <row r="635" spans="2:12" ht="13" x14ac:dyDescent="0.3">
      <c r="B635" s="9"/>
      <c r="C635" s="9"/>
      <c r="D635" s="9"/>
      <c r="E635" s="16"/>
      <c r="F635" s="16"/>
      <c r="G635" s="32"/>
      <c r="H635" s="9"/>
      <c r="L635" s="9"/>
    </row>
    <row r="636" spans="2:12" ht="13" x14ac:dyDescent="0.3">
      <c r="B636" s="9"/>
      <c r="C636" s="9"/>
      <c r="D636" s="9"/>
      <c r="E636" s="16"/>
      <c r="F636" s="16"/>
      <c r="G636" s="32"/>
      <c r="H636" s="9"/>
      <c r="L636" s="9"/>
    </row>
    <row r="637" spans="2:12" ht="13" x14ac:dyDescent="0.3">
      <c r="B637" s="9"/>
      <c r="C637" s="9"/>
      <c r="D637" s="9"/>
      <c r="E637" s="16"/>
      <c r="F637" s="16"/>
      <c r="G637" s="32"/>
      <c r="H637" s="9"/>
      <c r="L637" s="9"/>
    </row>
    <row r="638" spans="2:12" ht="13" x14ac:dyDescent="0.3">
      <c r="B638" s="9"/>
      <c r="C638" s="9"/>
      <c r="D638" s="9"/>
      <c r="E638" s="16"/>
      <c r="F638" s="16"/>
      <c r="G638" s="32"/>
      <c r="H638" s="9"/>
      <c r="L638" s="9"/>
    </row>
    <row r="639" spans="2:12" ht="13" x14ac:dyDescent="0.3">
      <c r="B639" s="9"/>
      <c r="C639" s="9"/>
      <c r="D639" s="9"/>
      <c r="E639" s="16"/>
      <c r="F639" s="16"/>
      <c r="G639" s="32"/>
      <c r="H639" s="9"/>
      <c r="L639" s="9"/>
    </row>
    <row r="640" spans="2:12" ht="13" x14ac:dyDescent="0.3">
      <c r="B640" s="9"/>
      <c r="C640" s="9"/>
      <c r="D640" s="9"/>
      <c r="E640" s="16"/>
      <c r="F640" s="16"/>
      <c r="G640" s="32"/>
      <c r="H640" s="9"/>
      <c r="L640" s="9"/>
    </row>
    <row r="641" spans="2:12" ht="13" x14ac:dyDescent="0.3">
      <c r="B641" s="9"/>
      <c r="C641" s="9"/>
      <c r="D641" s="9"/>
      <c r="E641" s="16"/>
      <c r="F641" s="16"/>
      <c r="G641" s="32"/>
      <c r="H641" s="9"/>
      <c r="L641" s="9"/>
    </row>
    <row r="642" spans="2:12" ht="13" x14ac:dyDescent="0.3">
      <c r="B642" s="9"/>
      <c r="C642" s="9"/>
      <c r="D642" s="9"/>
      <c r="E642" s="16"/>
      <c r="F642" s="16"/>
      <c r="G642" s="32"/>
      <c r="H642" s="9"/>
      <c r="L642" s="9"/>
    </row>
    <row r="643" spans="2:12" ht="13" x14ac:dyDescent="0.3">
      <c r="B643" s="9"/>
      <c r="C643" s="9"/>
      <c r="D643" s="9"/>
      <c r="E643" s="16"/>
      <c r="F643" s="16"/>
      <c r="G643" s="32"/>
      <c r="H643" s="9"/>
      <c r="L643" s="9"/>
    </row>
    <row r="644" spans="2:12" ht="13" x14ac:dyDescent="0.3">
      <c r="B644" s="9"/>
      <c r="C644" s="9"/>
      <c r="D644" s="9"/>
      <c r="E644" s="16"/>
      <c r="F644" s="16"/>
      <c r="G644" s="32"/>
      <c r="H644" s="9"/>
      <c r="L644" s="9"/>
    </row>
    <row r="645" spans="2:12" ht="13" x14ac:dyDescent="0.3">
      <c r="B645" s="9"/>
      <c r="C645" s="9"/>
      <c r="D645" s="9"/>
      <c r="E645" s="16"/>
      <c r="F645" s="16"/>
      <c r="G645" s="32"/>
      <c r="H645" s="9"/>
      <c r="L645" s="9"/>
    </row>
    <row r="646" spans="2:12" ht="13" x14ac:dyDescent="0.3">
      <c r="B646" s="9"/>
      <c r="C646" s="9"/>
      <c r="D646" s="9"/>
      <c r="E646" s="16"/>
      <c r="F646" s="16"/>
      <c r="G646" s="32"/>
      <c r="H646" s="9"/>
      <c r="L646" s="9"/>
    </row>
    <row r="647" spans="2:12" ht="13" x14ac:dyDescent="0.3">
      <c r="B647" s="9"/>
      <c r="C647" s="9"/>
      <c r="D647" s="9"/>
      <c r="E647" s="16"/>
      <c r="F647" s="16"/>
      <c r="G647" s="32"/>
      <c r="H647" s="9"/>
      <c r="L647" s="9"/>
    </row>
    <row r="648" spans="2:12" ht="13" x14ac:dyDescent="0.3">
      <c r="B648" s="9"/>
      <c r="C648" s="9"/>
      <c r="D648" s="9"/>
      <c r="E648" s="16"/>
      <c r="F648" s="16"/>
      <c r="G648" s="32"/>
      <c r="H648" s="9"/>
      <c r="L648" s="9"/>
    </row>
    <row r="649" spans="2:12" ht="13" x14ac:dyDescent="0.3">
      <c r="B649" s="9"/>
      <c r="C649" s="9"/>
      <c r="D649" s="9"/>
      <c r="E649" s="16"/>
      <c r="F649" s="16"/>
      <c r="G649" s="32"/>
      <c r="H649" s="9"/>
      <c r="L649" s="9"/>
    </row>
    <row r="650" spans="2:12" ht="13" x14ac:dyDescent="0.3">
      <c r="B650" s="9"/>
      <c r="C650" s="9"/>
      <c r="D650" s="9"/>
      <c r="E650" s="16"/>
      <c r="F650" s="16"/>
      <c r="G650" s="32"/>
      <c r="H650" s="9"/>
      <c r="L650" s="9"/>
    </row>
    <row r="651" spans="2:12" ht="13" x14ac:dyDescent="0.3">
      <c r="B651" s="9"/>
      <c r="C651" s="9"/>
      <c r="D651" s="9"/>
      <c r="E651" s="16"/>
      <c r="F651" s="16"/>
      <c r="G651" s="32"/>
      <c r="H651" s="9"/>
      <c r="L651" s="9"/>
    </row>
    <row r="652" spans="2:12" ht="13" x14ac:dyDescent="0.3">
      <c r="B652" s="9"/>
      <c r="C652" s="9"/>
      <c r="D652" s="9"/>
      <c r="E652" s="16"/>
      <c r="F652" s="16"/>
      <c r="G652" s="32"/>
      <c r="H652" s="9"/>
      <c r="L652" s="9"/>
    </row>
    <row r="653" spans="2:12" ht="13" x14ac:dyDescent="0.3">
      <c r="B653" s="9"/>
      <c r="C653" s="9"/>
      <c r="D653" s="9"/>
      <c r="E653" s="16"/>
      <c r="F653" s="16"/>
      <c r="G653" s="32"/>
      <c r="H653" s="9"/>
      <c r="L653" s="9"/>
    </row>
    <row r="654" spans="2:12" ht="13" x14ac:dyDescent="0.3">
      <c r="B654" s="9"/>
      <c r="C654" s="9"/>
      <c r="D654" s="9"/>
      <c r="E654" s="16"/>
      <c r="F654" s="16"/>
      <c r="G654" s="32"/>
      <c r="H654" s="9"/>
      <c r="L654" s="9"/>
    </row>
    <row r="655" spans="2:12" ht="13" x14ac:dyDescent="0.3">
      <c r="B655" s="9"/>
      <c r="C655" s="9"/>
      <c r="D655" s="9"/>
      <c r="E655" s="16"/>
      <c r="F655" s="16"/>
      <c r="G655" s="32"/>
      <c r="H655" s="9"/>
      <c r="L655" s="9"/>
    </row>
    <row r="656" spans="2:12" ht="13" x14ac:dyDescent="0.3">
      <c r="B656" s="9"/>
      <c r="C656" s="9"/>
      <c r="D656" s="9"/>
      <c r="E656" s="16"/>
      <c r="F656" s="16"/>
      <c r="G656" s="32"/>
      <c r="H656" s="9"/>
      <c r="L656" s="9"/>
    </row>
    <row r="657" spans="2:12" ht="13" x14ac:dyDescent="0.3">
      <c r="B657" s="9"/>
      <c r="C657" s="9"/>
      <c r="D657" s="9"/>
      <c r="E657" s="16"/>
      <c r="F657" s="16"/>
      <c r="G657" s="32"/>
      <c r="H657" s="9"/>
      <c r="L657" s="9"/>
    </row>
    <row r="658" spans="2:12" ht="13" x14ac:dyDescent="0.3">
      <c r="B658" s="9"/>
      <c r="C658" s="9"/>
      <c r="D658" s="9"/>
      <c r="E658" s="16"/>
      <c r="F658" s="16"/>
      <c r="G658" s="32"/>
      <c r="H658" s="9"/>
      <c r="L658" s="9"/>
    </row>
    <row r="659" spans="2:12" ht="13" x14ac:dyDescent="0.3">
      <c r="B659" s="9"/>
      <c r="C659" s="9"/>
      <c r="D659" s="9"/>
      <c r="E659" s="16"/>
      <c r="F659" s="16"/>
      <c r="G659" s="32"/>
      <c r="H659" s="9"/>
      <c r="L659" s="9"/>
    </row>
    <row r="660" spans="2:12" ht="13" x14ac:dyDescent="0.3">
      <c r="B660" s="9"/>
      <c r="C660" s="9"/>
      <c r="D660" s="9"/>
      <c r="E660" s="16"/>
      <c r="F660" s="16"/>
      <c r="G660" s="32"/>
      <c r="H660" s="9"/>
      <c r="L660" s="9"/>
    </row>
    <row r="661" spans="2:12" ht="13" x14ac:dyDescent="0.3">
      <c r="B661" s="9"/>
      <c r="C661" s="9"/>
      <c r="D661" s="9"/>
      <c r="E661" s="16"/>
      <c r="F661" s="16"/>
      <c r="G661" s="32"/>
      <c r="H661" s="9"/>
      <c r="L661" s="9"/>
    </row>
    <row r="662" spans="2:12" ht="13" x14ac:dyDescent="0.3">
      <c r="B662" s="9"/>
      <c r="C662" s="9"/>
      <c r="D662" s="9"/>
      <c r="E662" s="16"/>
      <c r="F662" s="16"/>
      <c r="G662" s="32"/>
      <c r="H662" s="9"/>
      <c r="L662" s="9"/>
    </row>
    <row r="663" spans="2:12" ht="13" x14ac:dyDescent="0.3">
      <c r="B663" s="9"/>
      <c r="C663" s="9"/>
      <c r="D663" s="9"/>
      <c r="E663" s="16"/>
      <c r="F663" s="16"/>
      <c r="G663" s="32"/>
      <c r="H663" s="9"/>
      <c r="L663" s="9"/>
    </row>
    <row r="664" spans="2:12" ht="13" x14ac:dyDescent="0.3">
      <c r="B664" s="9"/>
      <c r="C664" s="9"/>
      <c r="D664" s="9"/>
      <c r="E664" s="16"/>
      <c r="F664" s="16"/>
      <c r="G664" s="32"/>
      <c r="H664" s="9"/>
      <c r="L664" s="9"/>
    </row>
    <row r="665" spans="2:12" ht="13" x14ac:dyDescent="0.3">
      <c r="B665" s="9"/>
      <c r="C665" s="9"/>
      <c r="D665" s="9"/>
      <c r="E665" s="16"/>
      <c r="F665" s="16"/>
      <c r="G665" s="32"/>
      <c r="H665" s="9"/>
      <c r="L665" s="9"/>
    </row>
    <row r="666" spans="2:12" ht="13" x14ac:dyDescent="0.3">
      <c r="B666" s="9"/>
      <c r="C666" s="9"/>
      <c r="D666" s="9"/>
      <c r="E666" s="16"/>
      <c r="F666" s="16"/>
      <c r="G666" s="32"/>
      <c r="H666" s="9"/>
      <c r="L666" s="9"/>
    </row>
    <row r="667" spans="2:12" ht="13" x14ac:dyDescent="0.3">
      <c r="B667" s="9"/>
      <c r="C667" s="9"/>
      <c r="D667" s="9"/>
      <c r="E667" s="16"/>
      <c r="F667" s="16"/>
      <c r="G667" s="32"/>
      <c r="H667" s="9"/>
      <c r="L667" s="9"/>
    </row>
    <row r="668" spans="2:12" ht="13" x14ac:dyDescent="0.3">
      <c r="B668" s="9"/>
      <c r="C668" s="9"/>
      <c r="D668" s="9"/>
      <c r="E668" s="16"/>
      <c r="F668" s="16"/>
      <c r="G668" s="32"/>
      <c r="H668" s="9"/>
      <c r="L668" s="9"/>
    </row>
    <row r="669" spans="2:12" ht="13" x14ac:dyDescent="0.3">
      <c r="B669" s="9"/>
      <c r="C669" s="9"/>
      <c r="D669" s="9"/>
      <c r="E669" s="16"/>
      <c r="F669" s="16"/>
      <c r="G669" s="32"/>
      <c r="H669" s="9"/>
      <c r="L669" s="9"/>
    </row>
    <row r="670" spans="2:12" ht="13" x14ac:dyDescent="0.3">
      <c r="B670" s="9"/>
      <c r="C670" s="9"/>
      <c r="D670" s="9"/>
      <c r="E670" s="16"/>
      <c r="F670" s="16"/>
      <c r="G670" s="32"/>
      <c r="H670" s="9"/>
      <c r="L670" s="9"/>
    </row>
    <row r="671" spans="2:12" ht="13" x14ac:dyDescent="0.3">
      <c r="B671" s="9"/>
      <c r="C671" s="9"/>
      <c r="D671" s="9"/>
      <c r="E671" s="16"/>
      <c r="F671" s="16"/>
      <c r="G671" s="32"/>
      <c r="H671" s="9"/>
      <c r="L671" s="9"/>
    </row>
    <row r="672" spans="2:12" ht="13" x14ac:dyDescent="0.3">
      <c r="B672" s="9"/>
      <c r="C672" s="9"/>
      <c r="D672" s="9"/>
      <c r="E672" s="16"/>
      <c r="F672" s="16"/>
      <c r="G672" s="32"/>
      <c r="H672" s="9"/>
      <c r="L672" s="9"/>
    </row>
    <row r="673" spans="2:12" ht="13" x14ac:dyDescent="0.3">
      <c r="B673" s="9"/>
      <c r="C673" s="9"/>
      <c r="D673" s="9"/>
      <c r="E673" s="16"/>
      <c r="F673" s="16"/>
      <c r="G673" s="32"/>
      <c r="H673" s="9"/>
      <c r="L673" s="9"/>
    </row>
    <row r="674" spans="2:12" ht="13" x14ac:dyDescent="0.3">
      <c r="B674" s="9"/>
      <c r="C674" s="9"/>
      <c r="D674" s="9"/>
      <c r="E674" s="16"/>
      <c r="F674" s="16"/>
      <c r="G674" s="32"/>
      <c r="H674" s="9"/>
      <c r="L674" s="9"/>
    </row>
    <row r="675" spans="2:12" ht="13" x14ac:dyDescent="0.3">
      <c r="B675" s="9"/>
      <c r="C675" s="9"/>
      <c r="D675" s="9"/>
      <c r="E675" s="16"/>
      <c r="F675" s="16"/>
      <c r="G675" s="32"/>
      <c r="H675" s="9"/>
      <c r="L675" s="9"/>
    </row>
    <row r="676" spans="2:12" ht="13" x14ac:dyDescent="0.3">
      <c r="B676" s="9"/>
      <c r="C676" s="9"/>
      <c r="D676" s="9"/>
      <c r="E676" s="16"/>
      <c r="F676" s="16"/>
      <c r="G676" s="32"/>
      <c r="H676" s="9"/>
      <c r="L676" s="9"/>
    </row>
    <row r="677" spans="2:12" ht="13" x14ac:dyDescent="0.3">
      <c r="B677" s="9"/>
      <c r="C677" s="9"/>
      <c r="D677" s="9"/>
      <c r="E677" s="16"/>
      <c r="F677" s="16"/>
      <c r="G677" s="32"/>
      <c r="H677" s="9"/>
      <c r="L677" s="9"/>
    </row>
    <row r="678" spans="2:12" ht="13" x14ac:dyDescent="0.3">
      <c r="B678" s="9"/>
      <c r="C678" s="9"/>
      <c r="D678" s="9"/>
      <c r="E678" s="16"/>
      <c r="F678" s="16"/>
      <c r="G678" s="32"/>
      <c r="H678" s="9"/>
      <c r="L678" s="9"/>
    </row>
    <row r="679" spans="2:12" ht="13" x14ac:dyDescent="0.3">
      <c r="B679" s="9"/>
      <c r="C679" s="9"/>
      <c r="D679" s="9"/>
      <c r="E679" s="16"/>
      <c r="F679" s="16"/>
      <c r="G679" s="32"/>
      <c r="H679" s="9"/>
      <c r="L679" s="9"/>
    </row>
    <row r="680" spans="2:12" ht="13" x14ac:dyDescent="0.3">
      <c r="B680" s="9"/>
      <c r="C680" s="9"/>
      <c r="D680" s="9"/>
      <c r="E680" s="16"/>
      <c r="F680" s="16"/>
      <c r="G680" s="32"/>
      <c r="H680" s="9"/>
      <c r="L680" s="9"/>
    </row>
    <row r="681" spans="2:12" ht="13" x14ac:dyDescent="0.3">
      <c r="B681" s="9"/>
      <c r="C681" s="9"/>
      <c r="D681" s="9"/>
      <c r="E681" s="16"/>
      <c r="F681" s="16"/>
      <c r="G681" s="32"/>
      <c r="H681" s="9"/>
      <c r="L681" s="9"/>
    </row>
    <row r="682" spans="2:12" ht="13" x14ac:dyDescent="0.3">
      <c r="B682" s="9"/>
      <c r="C682" s="9"/>
      <c r="D682" s="9"/>
      <c r="E682" s="16"/>
      <c r="F682" s="16"/>
      <c r="G682" s="32"/>
      <c r="H682" s="9"/>
      <c r="L682" s="9"/>
    </row>
    <row r="683" spans="2:12" ht="13" x14ac:dyDescent="0.3">
      <c r="B683" s="9"/>
      <c r="C683" s="9"/>
      <c r="D683" s="9"/>
      <c r="E683" s="16"/>
      <c r="F683" s="16"/>
      <c r="G683" s="32"/>
      <c r="H683" s="9"/>
      <c r="L683" s="9"/>
    </row>
    <row r="684" spans="2:12" ht="13" x14ac:dyDescent="0.3">
      <c r="B684" s="9"/>
      <c r="C684" s="9"/>
      <c r="D684" s="9"/>
      <c r="E684" s="16"/>
      <c r="F684" s="16"/>
      <c r="G684" s="32"/>
      <c r="H684" s="9"/>
      <c r="L684" s="9"/>
    </row>
    <row r="685" spans="2:12" ht="13" x14ac:dyDescent="0.3">
      <c r="B685" s="9"/>
      <c r="C685" s="9"/>
      <c r="D685" s="9"/>
      <c r="E685" s="16"/>
      <c r="F685" s="16"/>
      <c r="G685" s="32"/>
      <c r="H685" s="9"/>
      <c r="L685" s="9"/>
    </row>
    <row r="686" spans="2:12" ht="13" x14ac:dyDescent="0.3">
      <c r="B686" s="9"/>
      <c r="C686" s="9"/>
      <c r="D686" s="9"/>
      <c r="E686" s="16"/>
      <c r="F686" s="16"/>
      <c r="G686" s="32"/>
      <c r="H686" s="9"/>
      <c r="L686" s="9"/>
    </row>
    <row r="687" spans="2:12" ht="13" x14ac:dyDescent="0.3">
      <c r="B687" s="9"/>
      <c r="C687" s="9"/>
      <c r="D687" s="9"/>
      <c r="E687" s="16"/>
      <c r="F687" s="16"/>
      <c r="G687" s="32"/>
      <c r="H687" s="9"/>
      <c r="L687" s="9"/>
    </row>
    <row r="688" spans="2:12" ht="13" x14ac:dyDescent="0.3">
      <c r="B688" s="9"/>
      <c r="C688" s="9"/>
      <c r="D688" s="9"/>
      <c r="E688" s="16"/>
      <c r="F688" s="16"/>
      <c r="G688" s="32"/>
      <c r="H688" s="9"/>
      <c r="L688" s="9"/>
    </row>
    <row r="689" spans="2:12" ht="13" x14ac:dyDescent="0.3">
      <c r="B689" s="9"/>
      <c r="C689" s="9"/>
      <c r="D689" s="9"/>
      <c r="E689" s="16"/>
      <c r="F689" s="16"/>
      <c r="G689" s="32"/>
      <c r="H689" s="9"/>
      <c r="L689" s="9"/>
    </row>
    <row r="690" spans="2:12" ht="13" x14ac:dyDescent="0.3">
      <c r="B690" s="9"/>
      <c r="C690" s="9"/>
      <c r="D690" s="9"/>
      <c r="E690" s="16"/>
      <c r="F690" s="16"/>
      <c r="G690" s="32"/>
      <c r="H690" s="9"/>
      <c r="L690" s="9"/>
    </row>
    <row r="691" spans="2:12" ht="13" x14ac:dyDescent="0.3">
      <c r="B691" s="9"/>
      <c r="C691" s="9"/>
      <c r="D691" s="9"/>
      <c r="E691" s="16"/>
      <c r="F691" s="16"/>
      <c r="G691" s="32"/>
      <c r="H691" s="9"/>
      <c r="L691" s="9"/>
    </row>
    <row r="692" spans="2:12" ht="13" x14ac:dyDescent="0.3">
      <c r="B692" s="9"/>
      <c r="C692" s="9"/>
      <c r="D692" s="9"/>
      <c r="E692" s="16"/>
      <c r="F692" s="16"/>
      <c r="G692" s="32"/>
      <c r="H692" s="9"/>
      <c r="L692" s="9"/>
    </row>
    <row r="693" spans="2:12" ht="13" x14ac:dyDescent="0.3">
      <c r="B693" s="9"/>
      <c r="C693" s="9"/>
      <c r="D693" s="9"/>
      <c r="E693" s="16"/>
      <c r="F693" s="16"/>
      <c r="G693" s="32"/>
      <c r="H693" s="9"/>
      <c r="L693" s="9"/>
    </row>
    <row r="694" spans="2:12" ht="13" x14ac:dyDescent="0.3">
      <c r="B694" s="9"/>
      <c r="C694" s="9"/>
      <c r="D694" s="9"/>
      <c r="E694" s="16"/>
      <c r="F694" s="16"/>
      <c r="G694" s="32"/>
      <c r="H694" s="9"/>
      <c r="L694" s="9"/>
    </row>
    <row r="695" spans="2:12" ht="13" x14ac:dyDescent="0.3">
      <c r="B695" s="9"/>
      <c r="C695" s="9"/>
      <c r="D695" s="9"/>
      <c r="E695" s="16"/>
      <c r="F695" s="16"/>
      <c r="G695" s="32"/>
      <c r="H695" s="9"/>
      <c r="L695" s="9"/>
    </row>
    <row r="696" spans="2:12" ht="13" x14ac:dyDescent="0.3">
      <c r="B696" s="9"/>
      <c r="C696" s="9"/>
      <c r="D696" s="9"/>
      <c r="E696" s="16"/>
      <c r="F696" s="16"/>
      <c r="G696" s="32"/>
      <c r="H696" s="9"/>
      <c r="L696" s="9"/>
    </row>
    <row r="697" spans="2:12" ht="13" x14ac:dyDescent="0.3">
      <c r="B697" s="9"/>
      <c r="C697" s="9"/>
      <c r="D697" s="9"/>
      <c r="E697" s="16"/>
      <c r="F697" s="16"/>
      <c r="G697" s="32"/>
      <c r="H697" s="9"/>
      <c r="L697" s="9"/>
    </row>
    <row r="698" spans="2:12" ht="13" x14ac:dyDescent="0.3">
      <c r="B698" s="9"/>
      <c r="C698" s="9"/>
      <c r="D698" s="9"/>
      <c r="E698" s="16"/>
      <c r="F698" s="16"/>
      <c r="G698" s="32"/>
      <c r="H698" s="9"/>
      <c r="L698" s="9"/>
    </row>
    <row r="699" spans="2:12" ht="13" x14ac:dyDescent="0.3">
      <c r="B699" s="9"/>
      <c r="C699" s="9"/>
      <c r="D699" s="9"/>
      <c r="E699" s="16"/>
      <c r="F699" s="16"/>
      <c r="G699" s="32"/>
      <c r="H699" s="9"/>
      <c r="L699" s="9"/>
    </row>
    <row r="700" spans="2:12" ht="13" x14ac:dyDescent="0.3">
      <c r="B700" s="9"/>
      <c r="C700" s="9"/>
      <c r="D700" s="9"/>
      <c r="E700" s="16"/>
      <c r="F700" s="16"/>
      <c r="G700" s="32"/>
      <c r="H700" s="9"/>
      <c r="L700" s="9"/>
    </row>
    <row r="701" spans="2:12" ht="13" x14ac:dyDescent="0.3">
      <c r="B701" s="9"/>
      <c r="C701" s="9"/>
      <c r="D701" s="9"/>
      <c r="E701" s="16"/>
      <c r="F701" s="16"/>
      <c r="G701" s="32"/>
      <c r="H701" s="9"/>
      <c r="L701" s="9"/>
    </row>
    <row r="702" spans="2:12" ht="13" x14ac:dyDescent="0.3">
      <c r="B702" s="9"/>
      <c r="C702" s="9"/>
      <c r="D702" s="9"/>
      <c r="E702" s="16"/>
      <c r="F702" s="16"/>
      <c r="G702" s="32"/>
      <c r="H702" s="9"/>
      <c r="L702" s="9"/>
    </row>
    <row r="703" spans="2:12" ht="13" x14ac:dyDescent="0.3">
      <c r="B703" s="9"/>
      <c r="C703" s="9"/>
      <c r="D703" s="9"/>
      <c r="E703" s="16"/>
      <c r="F703" s="16"/>
      <c r="G703" s="32"/>
      <c r="H703" s="9"/>
      <c r="L703" s="9"/>
    </row>
    <row r="704" spans="2:12" ht="13" x14ac:dyDescent="0.3">
      <c r="B704" s="9"/>
      <c r="C704" s="9"/>
      <c r="D704" s="9"/>
      <c r="E704" s="16"/>
      <c r="F704" s="16"/>
      <c r="G704" s="32"/>
      <c r="H704" s="9"/>
      <c r="L704" s="9"/>
    </row>
    <row r="705" spans="2:12" ht="13" x14ac:dyDescent="0.3">
      <c r="B705" s="9"/>
      <c r="C705" s="9"/>
      <c r="D705" s="9"/>
      <c r="E705" s="16"/>
      <c r="F705" s="16"/>
      <c r="G705" s="32"/>
      <c r="H705" s="9"/>
      <c r="L705" s="9"/>
    </row>
    <row r="706" spans="2:12" ht="13" x14ac:dyDescent="0.3">
      <c r="B706" s="9"/>
      <c r="C706" s="9"/>
      <c r="D706" s="9"/>
      <c r="E706" s="16"/>
      <c r="F706" s="16"/>
      <c r="G706" s="32"/>
      <c r="H706" s="9"/>
      <c r="L706" s="9"/>
    </row>
    <row r="707" spans="2:12" ht="13" x14ac:dyDescent="0.3">
      <c r="B707" s="9"/>
      <c r="C707" s="9"/>
      <c r="D707" s="9"/>
      <c r="E707" s="16"/>
      <c r="F707" s="16"/>
      <c r="G707" s="32"/>
      <c r="H707" s="9"/>
      <c r="L707" s="9"/>
    </row>
    <row r="708" spans="2:12" ht="13" x14ac:dyDescent="0.3">
      <c r="B708" s="9"/>
      <c r="C708" s="9"/>
      <c r="D708" s="9"/>
      <c r="E708" s="16"/>
      <c r="F708" s="16"/>
      <c r="G708" s="32"/>
      <c r="H708" s="9"/>
      <c r="L708" s="9"/>
    </row>
    <row r="709" spans="2:12" ht="13" x14ac:dyDescent="0.3">
      <c r="B709" s="9"/>
      <c r="C709" s="9"/>
      <c r="D709" s="9"/>
      <c r="E709" s="16"/>
      <c r="F709" s="16"/>
      <c r="G709" s="32"/>
      <c r="H709" s="9"/>
      <c r="L709" s="9"/>
    </row>
    <row r="710" spans="2:12" ht="13" x14ac:dyDescent="0.3">
      <c r="B710" s="9"/>
      <c r="C710" s="9"/>
      <c r="D710" s="9"/>
      <c r="E710" s="16"/>
      <c r="F710" s="16"/>
      <c r="G710" s="32"/>
      <c r="H710" s="9"/>
      <c r="L710" s="9"/>
    </row>
    <row r="711" spans="2:12" ht="13" x14ac:dyDescent="0.3">
      <c r="B711" s="9"/>
      <c r="C711" s="9"/>
      <c r="D711" s="9"/>
      <c r="E711" s="16"/>
      <c r="F711" s="16"/>
      <c r="G711" s="32"/>
      <c r="H711" s="9"/>
      <c r="L711" s="9"/>
    </row>
    <row r="712" spans="2:12" ht="13" x14ac:dyDescent="0.3">
      <c r="B712" s="9"/>
      <c r="C712" s="9"/>
      <c r="D712" s="9"/>
      <c r="E712" s="16"/>
      <c r="F712" s="16"/>
      <c r="G712" s="32"/>
      <c r="H712" s="9"/>
      <c r="L712" s="9"/>
    </row>
    <row r="713" spans="2:12" ht="13" x14ac:dyDescent="0.3">
      <c r="B713" s="9"/>
      <c r="C713" s="9"/>
      <c r="D713" s="9"/>
      <c r="E713" s="16"/>
      <c r="F713" s="16"/>
      <c r="G713" s="32"/>
      <c r="H713" s="9"/>
      <c r="L713" s="9"/>
    </row>
    <row r="714" spans="2:12" ht="13" x14ac:dyDescent="0.3">
      <c r="B714" s="9"/>
      <c r="C714" s="9"/>
      <c r="D714" s="9"/>
      <c r="E714" s="16"/>
      <c r="F714" s="16"/>
      <c r="G714" s="32"/>
      <c r="H714" s="9"/>
      <c r="L714" s="9"/>
    </row>
    <row r="715" spans="2:12" ht="13" x14ac:dyDescent="0.3">
      <c r="B715" s="9"/>
      <c r="C715" s="9"/>
      <c r="D715" s="9"/>
      <c r="E715" s="16"/>
      <c r="F715" s="16"/>
      <c r="G715" s="32"/>
      <c r="H715" s="9"/>
      <c r="L715" s="9"/>
    </row>
    <row r="716" spans="2:12" ht="13" x14ac:dyDescent="0.3">
      <c r="B716" s="9"/>
      <c r="C716" s="9"/>
      <c r="D716" s="9"/>
      <c r="E716" s="16"/>
      <c r="F716" s="16"/>
      <c r="G716" s="32"/>
      <c r="H716" s="9"/>
      <c r="L716" s="9"/>
    </row>
    <row r="717" spans="2:12" ht="13" x14ac:dyDescent="0.3">
      <c r="B717" s="9"/>
      <c r="C717" s="9"/>
      <c r="D717" s="9"/>
      <c r="E717" s="16"/>
      <c r="F717" s="16"/>
      <c r="G717" s="32"/>
      <c r="H717" s="9"/>
      <c r="L717" s="9"/>
    </row>
    <row r="718" spans="2:12" ht="13" x14ac:dyDescent="0.3">
      <c r="B718" s="9"/>
      <c r="C718" s="9"/>
      <c r="D718" s="9"/>
      <c r="E718" s="16"/>
      <c r="F718" s="16"/>
      <c r="G718" s="32"/>
      <c r="H718" s="9"/>
      <c r="L718" s="9"/>
    </row>
    <row r="719" spans="2:12" ht="13" x14ac:dyDescent="0.3">
      <c r="B719" s="9"/>
      <c r="C719" s="9"/>
      <c r="D719" s="9"/>
      <c r="E719" s="16"/>
      <c r="F719" s="16"/>
      <c r="G719" s="32"/>
      <c r="H719" s="9"/>
      <c r="L719" s="9"/>
    </row>
    <row r="720" spans="2:12" ht="13" x14ac:dyDescent="0.3">
      <c r="B720" s="9"/>
      <c r="C720" s="9"/>
      <c r="D720" s="9"/>
      <c r="E720" s="16"/>
      <c r="F720" s="16"/>
      <c r="G720" s="32"/>
      <c r="H720" s="9"/>
      <c r="L720" s="9"/>
    </row>
    <row r="721" spans="2:12" ht="13" x14ac:dyDescent="0.3">
      <c r="B721" s="9"/>
      <c r="C721" s="9"/>
      <c r="D721" s="9"/>
      <c r="E721" s="16"/>
      <c r="F721" s="16"/>
      <c r="G721" s="32"/>
      <c r="H721" s="9"/>
      <c r="L721" s="9"/>
    </row>
    <row r="722" spans="2:12" ht="13" x14ac:dyDescent="0.3">
      <c r="B722" s="9"/>
      <c r="C722" s="9"/>
      <c r="D722" s="9"/>
      <c r="E722" s="16"/>
      <c r="F722" s="16"/>
      <c r="G722" s="32"/>
      <c r="H722" s="9"/>
      <c r="L722" s="9"/>
    </row>
    <row r="723" spans="2:12" ht="13" x14ac:dyDescent="0.3">
      <c r="B723" s="9"/>
      <c r="C723" s="9"/>
      <c r="D723" s="9"/>
      <c r="E723" s="16"/>
      <c r="F723" s="16"/>
      <c r="G723" s="32"/>
      <c r="H723" s="9"/>
      <c r="L723" s="9"/>
    </row>
    <row r="724" spans="2:12" ht="13" x14ac:dyDescent="0.3">
      <c r="B724" s="9"/>
      <c r="C724" s="9"/>
      <c r="D724" s="9"/>
      <c r="E724" s="16"/>
      <c r="F724" s="16"/>
      <c r="G724" s="32"/>
      <c r="H724" s="9"/>
      <c r="L724" s="9"/>
    </row>
    <row r="725" spans="2:12" ht="13" x14ac:dyDescent="0.3">
      <c r="B725" s="9"/>
      <c r="C725" s="9"/>
      <c r="D725" s="9"/>
      <c r="E725" s="16"/>
      <c r="F725" s="16"/>
      <c r="G725" s="32"/>
      <c r="H725" s="9"/>
      <c r="L725" s="9"/>
    </row>
    <row r="726" spans="2:12" ht="13" x14ac:dyDescent="0.3">
      <c r="B726" s="9"/>
      <c r="C726" s="9"/>
      <c r="D726" s="9"/>
      <c r="E726" s="16"/>
      <c r="F726" s="16"/>
      <c r="G726" s="32"/>
      <c r="H726" s="9"/>
      <c r="L726" s="9"/>
    </row>
    <row r="727" spans="2:12" ht="13" x14ac:dyDescent="0.3">
      <c r="B727" s="9"/>
      <c r="C727" s="9"/>
      <c r="D727" s="9"/>
      <c r="E727" s="16"/>
      <c r="F727" s="16"/>
      <c r="G727" s="32"/>
      <c r="H727" s="9"/>
      <c r="L727" s="9"/>
    </row>
    <row r="728" spans="2:12" ht="13" x14ac:dyDescent="0.3">
      <c r="B728" s="9"/>
      <c r="C728" s="9"/>
      <c r="D728" s="9"/>
      <c r="E728" s="16"/>
      <c r="F728" s="16"/>
      <c r="G728" s="32"/>
      <c r="H728" s="9"/>
      <c r="L728" s="9"/>
    </row>
    <row r="729" spans="2:12" ht="13" x14ac:dyDescent="0.3">
      <c r="B729" s="9"/>
      <c r="C729" s="9"/>
      <c r="D729" s="9"/>
      <c r="E729" s="16"/>
      <c r="F729" s="16"/>
      <c r="G729" s="32"/>
      <c r="H729" s="9"/>
      <c r="L729" s="9"/>
    </row>
    <row r="730" spans="2:12" ht="13" x14ac:dyDescent="0.3">
      <c r="B730" s="9"/>
      <c r="C730" s="9"/>
      <c r="D730" s="9"/>
      <c r="E730" s="16"/>
      <c r="F730" s="16"/>
      <c r="G730" s="32"/>
      <c r="H730" s="9"/>
      <c r="L730" s="9"/>
    </row>
    <row r="731" spans="2:12" ht="13" x14ac:dyDescent="0.3">
      <c r="B731" s="9"/>
      <c r="C731" s="9"/>
      <c r="D731" s="9"/>
      <c r="E731" s="16"/>
      <c r="F731" s="16"/>
      <c r="G731" s="32"/>
      <c r="H731" s="9"/>
      <c r="L731" s="9"/>
    </row>
    <row r="732" spans="2:12" ht="13" x14ac:dyDescent="0.3">
      <c r="B732" s="9"/>
      <c r="C732" s="9"/>
      <c r="D732" s="9"/>
      <c r="E732" s="16"/>
      <c r="F732" s="16"/>
      <c r="G732" s="32"/>
      <c r="H732" s="9"/>
      <c r="L732" s="9"/>
    </row>
    <row r="733" spans="2:12" ht="13" x14ac:dyDescent="0.3">
      <c r="B733" s="9"/>
      <c r="C733" s="9"/>
      <c r="D733" s="9"/>
      <c r="E733" s="16"/>
      <c r="F733" s="16"/>
      <c r="G733" s="32"/>
      <c r="H733" s="9"/>
      <c r="L733" s="9"/>
    </row>
    <row r="734" spans="2:12" ht="13" x14ac:dyDescent="0.3">
      <c r="B734" s="9"/>
      <c r="C734" s="9"/>
      <c r="D734" s="9"/>
      <c r="E734" s="16"/>
      <c r="F734" s="16"/>
      <c r="G734" s="32"/>
      <c r="H734" s="9"/>
      <c r="L734" s="9"/>
    </row>
    <row r="735" spans="2:12" ht="13" x14ac:dyDescent="0.3">
      <c r="B735" s="9"/>
      <c r="C735" s="9"/>
      <c r="D735" s="9"/>
      <c r="E735" s="16"/>
      <c r="F735" s="16"/>
      <c r="G735" s="32"/>
      <c r="H735" s="9"/>
      <c r="L735" s="9"/>
    </row>
    <row r="736" spans="2:12" ht="13" x14ac:dyDescent="0.3">
      <c r="B736" s="9"/>
      <c r="C736" s="9"/>
      <c r="D736" s="9"/>
      <c r="E736" s="16"/>
      <c r="F736" s="16"/>
      <c r="G736" s="32"/>
      <c r="H736" s="9"/>
      <c r="L736" s="9"/>
    </row>
    <row r="737" spans="2:12" ht="13" x14ac:dyDescent="0.3">
      <c r="B737" s="9"/>
      <c r="C737" s="9"/>
      <c r="D737" s="9"/>
      <c r="E737" s="16"/>
      <c r="F737" s="16"/>
      <c r="G737" s="32"/>
      <c r="H737" s="9"/>
      <c r="L737" s="9"/>
    </row>
    <row r="738" spans="2:12" ht="13" x14ac:dyDescent="0.3">
      <c r="B738" s="9"/>
      <c r="C738" s="9"/>
      <c r="D738" s="9"/>
      <c r="E738" s="16"/>
      <c r="F738" s="16"/>
      <c r="G738" s="32"/>
      <c r="H738" s="9"/>
      <c r="L738" s="9"/>
    </row>
    <row r="739" spans="2:12" ht="13" x14ac:dyDescent="0.3">
      <c r="B739" s="9"/>
      <c r="C739" s="9"/>
      <c r="D739" s="9"/>
      <c r="E739" s="16"/>
      <c r="F739" s="16"/>
      <c r="G739" s="32"/>
      <c r="H739" s="9"/>
      <c r="L739" s="9"/>
    </row>
    <row r="740" spans="2:12" ht="13" x14ac:dyDescent="0.3">
      <c r="B740" s="9"/>
      <c r="C740" s="9"/>
      <c r="D740" s="9"/>
      <c r="E740" s="16"/>
      <c r="F740" s="16"/>
      <c r="G740" s="32"/>
      <c r="H740" s="9"/>
      <c r="L740" s="9"/>
    </row>
    <row r="741" spans="2:12" ht="13" x14ac:dyDescent="0.3">
      <c r="B741" s="9"/>
      <c r="C741" s="9"/>
      <c r="D741" s="9"/>
      <c r="E741" s="16"/>
      <c r="F741" s="16"/>
      <c r="G741" s="32"/>
      <c r="H741" s="9"/>
      <c r="L741" s="9"/>
    </row>
    <row r="742" spans="2:12" ht="13" x14ac:dyDescent="0.3">
      <c r="B742" s="9"/>
      <c r="C742" s="9"/>
      <c r="D742" s="9"/>
      <c r="E742" s="16"/>
      <c r="F742" s="16"/>
      <c r="G742" s="32"/>
      <c r="H742" s="9"/>
      <c r="L742" s="9"/>
    </row>
    <row r="743" spans="2:12" ht="13" x14ac:dyDescent="0.3">
      <c r="B743" s="9"/>
      <c r="C743" s="9"/>
      <c r="D743" s="9"/>
      <c r="E743" s="16"/>
      <c r="F743" s="16"/>
      <c r="G743" s="32"/>
      <c r="H743" s="9"/>
      <c r="L743" s="9"/>
    </row>
    <row r="744" spans="2:12" ht="13" x14ac:dyDescent="0.3">
      <c r="B744" s="9"/>
      <c r="C744" s="9"/>
      <c r="D744" s="9"/>
      <c r="E744" s="16"/>
      <c r="F744" s="16"/>
      <c r="G744" s="32"/>
      <c r="H744" s="9"/>
      <c r="L744" s="9"/>
    </row>
    <row r="745" spans="2:12" ht="13" x14ac:dyDescent="0.3">
      <c r="B745" s="9"/>
      <c r="C745" s="9"/>
      <c r="D745" s="9"/>
      <c r="E745" s="16"/>
      <c r="F745" s="16"/>
      <c r="G745" s="32"/>
      <c r="H745" s="9"/>
      <c r="L745" s="9"/>
    </row>
    <row r="746" spans="2:12" ht="13" x14ac:dyDescent="0.3">
      <c r="B746" s="9"/>
      <c r="C746" s="9"/>
      <c r="D746" s="9"/>
      <c r="E746" s="16"/>
      <c r="F746" s="16"/>
      <c r="G746" s="32"/>
      <c r="H746" s="9"/>
      <c r="L746" s="9"/>
    </row>
    <row r="747" spans="2:12" ht="13" x14ac:dyDescent="0.3">
      <c r="B747" s="9"/>
      <c r="C747" s="9"/>
      <c r="D747" s="9"/>
      <c r="E747" s="16"/>
      <c r="F747" s="16"/>
      <c r="G747" s="32"/>
      <c r="H747" s="9"/>
      <c r="L747" s="9"/>
    </row>
    <row r="748" spans="2:12" ht="13" x14ac:dyDescent="0.3">
      <c r="B748" s="9"/>
      <c r="C748" s="9"/>
      <c r="D748" s="9"/>
      <c r="E748" s="16"/>
      <c r="F748" s="16"/>
      <c r="G748" s="32"/>
      <c r="H748" s="9"/>
      <c r="L748" s="9"/>
    </row>
    <row r="749" spans="2:12" ht="13" x14ac:dyDescent="0.3">
      <c r="B749" s="9"/>
      <c r="C749" s="9"/>
      <c r="D749" s="9"/>
      <c r="E749" s="16"/>
      <c r="F749" s="16"/>
      <c r="G749" s="32"/>
      <c r="H749" s="9"/>
      <c r="L749" s="9"/>
    </row>
    <row r="750" spans="2:12" ht="13" x14ac:dyDescent="0.3">
      <c r="B750" s="9"/>
      <c r="C750" s="9"/>
      <c r="D750" s="9"/>
      <c r="E750" s="16"/>
      <c r="F750" s="16"/>
      <c r="G750" s="32"/>
      <c r="H750" s="9"/>
      <c r="L750" s="9"/>
    </row>
    <row r="751" spans="2:12" ht="13" x14ac:dyDescent="0.3">
      <c r="B751" s="9"/>
      <c r="C751" s="9"/>
      <c r="D751" s="9"/>
      <c r="E751" s="16"/>
      <c r="F751" s="16"/>
      <c r="G751" s="32"/>
      <c r="H751" s="9"/>
      <c r="L751" s="9"/>
    </row>
    <row r="752" spans="2:12" ht="13" x14ac:dyDescent="0.3">
      <c r="B752" s="9"/>
      <c r="C752" s="9"/>
      <c r="D752" s="9"/>
      <c r="E752" s="16"/>
      <c r="F752" s="16"/>
      <c r="G752" s="32"/>
      <c r="H752" s="9"/>
      <c r="L752" s="9"/>
    </row>
    <row r="753" spans="2:12" ht="13" x14ac:dyDescent="0.3">
      <c r="B753" s="9"/>
      <c r="C753" s="9"/>
      <c r="D753" s="9"/>
      <c r="E753" s="16"/>
      <c r="F753" s="16"/>
      <c r="G753" s="32"/>
      <c r="H753" s="9"/>
      <c r="L753" s="9"/>
    </row>
    <row r="754" spans="2:12" ht="13" x14ac:dyDescent="0.3">
      <c r="B754" s="9"/>
      <c r="C754" s="9"/>
      <c r="D754" s="9"/>
      <c r="E754" s="16"/>
      <c r="F754" s="16"/>
      <c r="G754" s="32"/>
      <c r="H754" s="9"/>
      <c r="L754" s="9"/>
    </row>
    <row r="755" spans="2:12" ht="13" x14ac:dyDescent="0.3">
      <c r="B755" s="9"/>
      <c r="C755" s="9"/>
      <c r="D755" s="9"/>
      <c r="E755" s="16"/>
      <c r="F755" s="16"/>
      <c r="G755" s="32"/>
      <c r="H755" s="9"/>
      <c r="L755" s="9"/>
    </row>
    <row r="756" spans="2:12" ht="13" x14ac:dyDescent="0.3">
      <c r="B756" s="9"/>
      <c r="C756" s="9"/>
      <c r="D756" s="9"/>
      <c r="E756" s="16"/>
      <c r="F756" s="16"/>
      <c r="G756" s="32"/>
      <c r="H756" s="9"/>
      <c r="L756" s="9"/>
    </row>
    <row r="757" spans="2:12" ht="13" x14ac:dyDescent="0.3">
      <c r="B757" s="9"/>
      <c r="C757" s="9"/>
      <c r="D757" s="9"/>
      <c r="E757" s="16"/>
      <c r="F757" s="16"/>
      <c r="G757" s="32"/>
      <c r="H757" s="9"/>
      <c r="L757" s="9"/>
    </row>
    <row r="758" spans="2:12" ht="13" x14ac:dyDescent="0.3">
      <c r="B758" s="9"/>
      <c r="C758" s="9"/>
      <c r="D758" s="9"/>
      <c r="E758" s="16"/>
      <c r="F758" s="16"/>
      <c r="G758" s="32"/>
      <c r="H758" s="9"/>
      <c r="L758" s="9"/>
    </row>
    <row r="759" spans="2:12" ht="13" x14ac:dyDescent="0.3">
      <c r="B759" s="9"/>
      <c r="C759" s="9"/>
      <c r="D759" s="9"/>
      <c r="E759" s="16"/>
      <c r="F759" s="16"/>
      <c r="G759" s="32"/>
      <c r="H759" s="9"/>
      <c r="L759" s="9"/>
    </row>
    <row r="760" spans="2:12" ht="13" x14ac:dyDescent="0.3">
      <c r="B760" s="9"/>
      <c r="C760" s="9"/>
      <c r="D760" s="9"/>
      <c r="E760" s="16"/>
      <c r="F760" s="16"/>
      <c r="G760" s="32"/>
      <c r="H760" s="9"/>
      <c r="L760" s="9"/>
    </row>
    <row r="761" spans="2:12" ht="13" x14ac:dyDescent="0.3">
      <c r="B761" s="9"/>
      <c r="C761" s="9"/>
      <c r="D761" s="9"/>
      <c r="E761" s="16"/>
      <c r="F761" s="16"/>
      <c r="G761" s="32"/>
      <c r="H761" s="9"/>
      <c r="L761" s="9"/>
    </row>
    <row r="762" spans="2:12" ht="13" x14ac:dyDescent="0.3">
      <c r="B762" s="9"/>
      <c r="C762" s="9"/>
      <c r="D762" s="9"/>
      <c r="E762" s="16"/>
      <c r="F762" s="16"/>
      <c r="G762" s="32"/>
      <c r="H762" s="9"/>
      <c r="L762" s="9"/>
    </row>
    <row r="763" spans="2:12" ht="13" x14ac:dyDescent="0.3">
      <c r="B763" s="9"/>
      <c r="C763" s="9"/>
      <c r="D763" s="9"/>
      <c r="E763" s="16"/>
      <c r="F763" s="16"/>
      <c r="G763" s="32"/>
      <c r="H763" s="9"/>
      <c r="L763" s="9"/>
    </row>
    <row r="764" spans="2:12" ht="13" x14ac:dyDescent="0.3">
      <c r="B764" s="9"/>
      <c r="C764" s="9"/>
      <c r="D764" s="9"/>
      <c r="E764" s="16"/>
      <c r="F764" s="16"/>
      <c r="G764" s="32"/>
      <c r="H764" s="9"/>
      <c r="L764" s="9"/>
    </row>
    <row r="765" spans="2:12" ht="13" x14ac:dyDescent="0.3">
      <c r="B765" s="9"/>
      <c r="C765" s="9"/>
      <c r="D765" s="9"/>
      <c r="E765" s="16"/>
      <c r="F765" s="16"/>
      <c r="G765" s="32"/>
      <c r="H765" s="9"/>
      <c r="L765" s="9"/>
    </row>
    <row r="766" spans="2:12" ht="13" x14ac:dyDescent="0.3">
      <c r="B766" s="9"/>
      <c r="C766" s="9"/>
      <c r="D766" s="9"/>
      <c r="E766" s="16"/>
      <c r="F766" s="16"/>
      <c r="G766" s="32"/>
      <c r="H766" s="9"/>
      <c r="L766" s="9"/>
    </row>
    <row r="767" spans="2:12" ht="13" x14ac:dyDescent="0.3">
      <c r="B767" s="9"/>
      <c r="C767" s="9"/>
      <c r="D767" s="9"/>
      <c r="E767" s="16"/>
      <c r="F767" s="16"/>
      <c r="G767" s="32"/>
      <c r="H767" s="9"/>
      <c r="L767" s="9"/>
    </row>
    <row r="768" spans="2:12" ht="13" x14ac:dyDescent="0.3">
      <c r="B768" s="9"/>
      <c r="C768" s="9"/>
      <c r="D768" s="9"/>
      <c r="E768" s="16"/>
      <c r="F768" s="16"/>
      <c r="G768" s="32"/>
      <c r="H768" s="9"/>
      <c r="L768" s="9"/>
    </row>
    <row r="769" spans="2:12" ht="13" x14ac:dyDescent="0.3">
      <c r="B769" s="9"/>
      <c r="C769" s="9"/>
      <c r="D769" s="9"/>
      <c r="E769" s="16"/>
      <c r="F769" s="16"/>
      <c r="G769" s="32"/>
      <c r="H769" s="9"/>
      <c r="L769" s="9"/>
    </row>
    <row r="770" spans="2:12" ht="13" x14ac:dyDescent="0.3">
      <c r="B770" s="9"/>
      <c r="C770" s="9"/>
      <c r="D770" s="9"/>
      <c r="E770" s="16"/>
      <c r="F770" s="16"/>
      <c r="G770" s="32"/>
      <c r="H770" s="9"/>
      <c r="L770" s="9"/>
    </row>
    <row r="771" spans="2:12" ht="13" x14ac:dyDescent="0.3">
      <c r="B771" s="9"/>
      <c r="C771" s="9"/>
      <c r="D771" s="9"/>
      <c r="E771" s="16"/>
      <c r="F771" s="16"/>
      <c r="G771" s="32"/>
      <c r="H771" s="9"/>
      <c r="L771" s="9"/>
    </row>
    <row r="772" spans="2:12" ht="13" x14ac:dyDescent="0.3">
      <c r="B772" s="9"/>
      <c r="C772" s="9"/>
      <c r="D772" s="9"/>
      <c r="E772" s="16"/>
      <c r="F772" s="16"/>
      <c r="G772" s="32"/>
      <c r="H772" s="9"/>
      <c r="L772" s="9"/>
    </row>
    <row r="773" spans="2:12" ht="13" x14ac:dyDescent="0.3">
      <c r="B773" s="9"/>
      <c r="C773" s="9"/>
      <c r="D773" s="9"/>
      <c r="E773" s="16"/>
      <c r="F773" s="16"/>
      <c r="G773" s="32"/>
      <c r="H773" s="9"/>
      <c r="L773" s="9"/>
    </row>
    <row r="774" spans="2:12" ht="13" x14ac:dyDescent="0.3">
      <c r="B774" s="9"/>
      <c r="C774" s="9"/>
      <c r="D774" s="9"/>
      <c r="E774" s="16"/>
      <c r="F774" s="16"/>
      <c r="G774" s="32"/>
      <c r="H774" s="9"/>
      <c r="L774" s="9"/>
    </row>
    <row r="775" spans="2:12" ht="13" x14ac:dyDescent="0.3">
      <c r="B775" s="9"/>
      <c r="C775" s="9"/>
      <c r="D775" s="9"/>
      <c r="E775" s="16"/>
      <c r="F775" s="16"/>
      <c r="G775" s="32"/>
      <c r="H775" s="9"/>
      <c r="L775" s="9"/>
    </row>
    <row r="776" spans="2:12" ht="13" x14ac:dyDescent="0.3">
      <c r="B776" s="9"/>
      <c r="C776" s="9"/>
      <c r="D776" s="9"/>
      <c r="E776" s="16"/>
      <c r="F776" s="16"/>
      <c r="G776" s="32"/>
      <c r="H776" s="9"/>
      <c r="L776" s="9"/>
    </row>
    <row r="777" spans="2:12" ht="13" x14ac:dyDescent="0.3">
      <c r="B777" s="9"/>
      <c r="C777" s="9"/>
      <c r="D777" s="9"/>
      <c r="E777" s="16"/>
      <c r="F777" s="16"/>
      <c r="G777" s="32"/>
      <c r="H777" s="9"/>
      <c r="L777" s="9"/>
    </row>
    <row r="778" spans="2:12" ht="13" x14ac:dyDescent="0.3">
      <c r="B778" s="9"/>
      <c r="C778" s="9"/>
      <c r="D778" s="9"/>
      <c r="E778" s="16"/>
      <c r="F778" s="16"/>
      <c r="G778" s="32"/>
      <c r="H778" s="9"/>
      <c r="L778" s="9"/>
    </row>
    <row r="779" spans="2:12" ht="13" x14ac:dyDescent="0.3">
      <c r="B779" s="9"/>
      <c r="C779" s="9"/>
      <c r="D779" s="9"/>
      <c r="E779" s="16"/>
      <c r="F779" s="16"/>
      <c r="G779" s="32"/>
      <c r="H779" s="9"/>
      <c r="L779" s="9"/>
    </row>
    <row r="780" spans="2:12" ht="13" x14ac:dyDescent="0.3">
      <c r="B780" s="9"/>
      <c r="C780" s="9"/>
      <c r="D780" s="9"/>
      <c r="E780" s="16"/>
      <c r="F780" s="16"/>
      <c r="G780" s="32"/>
      <c r="H780" s="9"/>
      <c r="L780" s="9"/>
    </row>
    <row r="781" spans="2:12" ht="13" x14ac:dyDescent="0.3">
      <c r="B781" s="9"/>
      <c r="C781" s="9"/>
      <c r="D781" s="9"/>
      <c r="E781" s="16"/>
      <c r="F781" s="16"/>
      <c r="G781" s="32"/>
      <c r="H781" s="9"/>
      <c r="L781" s="9"/>
    </row>
    <row r="782" spans="2:12" ht="13" x14ac:dyDescent="0.3">
      <c r="B782" s="9"/>
      <c r="C782" s="9"/>
      <c r="D782" s="9"/>
      <c r="E782" s="16"/>
      <c r="F782" s="16"/>
      <c r="G782" s="32"/>
      <c r="H782" s="9"/>
      <c r="L782" s="9"/>
    </row>
    <row r="783" spans="2:12" ht="13" x14ac:dyDescent="0.3">
      <c r="B783" s="9"/>
      <c r="C783" s="9"/>
      <c r="D783" s="9"/>
      <c r="E783" s="16"/>
      <c r="F783" s="16"/>
      <c r="G783" s="32"/>
      <c r="H783" s="9"/>
      <c r="L783" s="9"/>
    </row>
    <row r="784" spans="2:12" ht="13" x14ac:dyDescent="0.3">
      <c r="B784" s="9"/>
      <c r="C784" s="9"/>
      <c r="D784" s="9"/>
      <c r="E784" s="16"/>
      <c r="F784" s="16"/>
      <c r="G784" s="32"/>
      <c r="H784" s="9"/>
      <c r="L784" s="9"/>
    </row>
    <row r="785" spans="2:12" ht="13" x14ac:dyDescent="0.3">
      <c r="B785" s="9"/>
      <c r="C785" s="9"/>
      <c r="D785" s="9"/>
      <c r="E785" s="16"/>
      <c r="F785" s="16"/>
      <c r="G785" s="32"/>
      <c r="H785" s="9"/>
      <c r="L785" s="9"/>
    </row>
    <row r="786" spans="2:12" ht="13" x14ac:dyDescent="0.3">
      <c r="B786" s="9"/>
      <c r="C786" s="9"/>
      <c r="D786" s="9"/>
      <c r="E786" s="16"/>
      <c r="F786" s="16"/>
      <c r="G786" s="32"/>
      <c r="H786" s="9"/>
      <c r="L786" s="9"/>
    </row>
    <row r="787" spans="2:12" ht="13" x14ac:dyDescent="0.3">
      <c r="B787" s="9"/>
      <c r="C787" s="9"/>
      <c r="D787" s="9"/>
      <c r="E787" s="16"/>
      <c r="F787" s="16"/>
      <c r="G787" s="32"/>
      <c r="H787" s="9"/>
      <c r="L787" s="9"/>
    </row>
    <row r="788" spans="2:12" ht="13" x14ac:dyDescent="0.3">
      <c r="B788" s="9"/>
      <c r="C788" s="9"/>
      <c r="D788" s="9"/>
      <c r="E788" s="16"/>
      <c r="F788" s="16"/>
      <c r="G788" s="32"/>
      <c r="H788" s="9"/>
      <c r="L788" s="9"/>
    </row>
    <row r="789" spans="2:12" ht="13" x14ac:dyDescent="0.3">
      <c r="B789" s="9"/>
      <c r="C789" s="9"/>
      <c r="D789" s="9"/>
      <c r="E789" s="16"/>
      <c r="F789" s="16"/>
      <c r="G789" s="32"/>
      <c r="H789" s="9"/>
      <c r="L789" s="9"/>
    </row>
    <row r="790" spans="2:12" ht="13" x14ac:dyDescent="0.3">
      <c r="B790" s="9"/>
      <c r="C790" s="9"/>
      <c r="D790" s="9"/>
      <c r="E790" s="16"/>
      <c r="F790" s="16"/>
      <c r="G790" s="32"/>
      <c r="H790" s="9"/>
      <c r="L790" s="9"/>
    </row>
    <row r="791" spans="2:12" ht="13" x14ac:dyDescent="0.3">
      <c r="B791" s="9"/>
      <c r="C791" s="9"/>
      <c r="D791" s="9"/>
      <c r="E791" s="16"/>
      <c r="F791" s="16"/>
      <c r="G791" s="32"/>
      <c r="H791" s="9"/>
      <c r="L791" s="9"/>
    </row>
    <row r="792" spans="2:12" ht="13" x14ac:dyDescent="0.3">
      <c r="B792" s="9"/>
      <c r="C792" s="9"/>
      <c r="D792" s="9"/>
      <c r="E792" s="16"/>
      <c r="F792" s="16"/>
      <c r="G792" s="32"/>
      <c r="H792" s="9"/>
      <c r="L792" s="9"/>
    </row>
    <row r="793" spans="2:12" ht="13" x14ac:dyDescent="0.3">
      <c r="B793" s="9"/>
      <c r="C793" s="9"/>
      <c r="D793" s="9"/>
      <c r="E793" s="16"/>
      <c r="F793" s="16"/>
      <c r="G793" s="32"/>
      <c r="H793" s="9"/>
      <c r="L793" s="9"/>
    </row>
    <row r="794" spans="2:12" ht="13" x14ac:dyDescent="0.3">
      <c r="B794" s="9"/>
      <c r="C794" s="9"/>
      <c r="D794" s="9"/>
      <c r="E794" s="16"/>
      <c r="F794" s="16"/>
      <c r="G794" s="32"/>
      <c r="H794" s="9"/>
      <c r="L794" s="9"/>
    </row>
    <row r="795" spans="2:12" ht="13" x14ac:dyDescent="0.3">
      <c r="B795" s="9"/>
      <c r="C795" s="9"/>
      <c r="D795" s="9"/>
      <c r="E795" s="16"/>
      <c r="F795" s="16"/>
      <c r="G795" s="32"/>
      <c r="H795" s="9"/>
      <c r="L795" s="9"/>
    </row>
    <row r="796" spans="2:12" ht="13" x14ac:dyDescent="0.3">
      <c r="B796" s="9"/>
      <c r="C796" s="9"/>
      <c r="D796" s="9"/>
      <c r="E796" s="16"/>
      <c r="F796" s="16"/>
      <c r="G796" s="32"/>
      <c r="H796" s="9"/>
      <c r="L796" s="9"/>
    </row>
    <row r="797" spans="2:12" ht="13" x14ac:dyDescent="0.3">
      <c r="B797" s="9"/>
      <c r="C797" s="9"/>
      <c r="D797" s="9"/>
      <c r="E797" s="16"/>
      <c r="F797" s="16"/>
      <c r="G797" s="32"/>
      <c r="H797" s="9"/>
      <c r="L797" s="9"/>
    </row>
    <row r="798" spans="2:12" ht="13" x14ac:dyDescent="0.3">
      <c r="B798" s="9"/>
      <c r="C798" s="9"/>
      <c r="D798" s="9"/>
      <c r="E798" s="16"/>
      <c r="F798" s="16"/>
      <c r="G798" s="32"/>
      <c r="H798" s="9"/>
      <c r="L798" s="9"/>
    </row>
    <row r="799" spans="2:12" ht="13" x14ac:dyDescent="0.3">
      <c r="B799" s="9"/>
      <c r="C799" s="9"/>
      <c r="D799" s="9"/>
      <c r="E799" s="16"/>
      <c r="F799" s="16"/>
      <c r="G799" s="32"/>
      <c r="H799" s="9"/>
      <c r="L799" s="9"/>
    </row>
    <row r="800" spans="2:12" ht="13" x14ac:dyDescent="0.3">
      <c r="B800" s="9"/>
      <c r="C800" s="9"/>
      <c r="D800" s="9"/>
      <c r="E800" s="16"/>
      <c r="F800" s="16"/>
      <c r="G800" s="32"/>
      <c r="H800" s="9"/>
      <c r="L800" s="9"/>
    </row>
    <row r="801" spans="2:12" ht="13" x14ac:dyDescent="0.3">
      <c r="B801" s="9"/>
      <c r="C801" s="9"/>
      <c r="D801" s="9"/>
      <c r="E801" s="16"/>
      <c r="F801" s="16"/>
      <c r="G801" s="32"/>
      <c r="H801" s="9"/>
      <c r="L801" s="9"/>
    </row>
    <row r="802" spans="2:12" ht="13" x14ac:dyDescent="0.3">
      <c r="B802" s="9"/>
      <c r="C802" s="9"/>
      <c r="D802" s="9"/>
      <c r="E802" s="16"/>
      <c r="F802" s="16"/>
      <c r="G802" s="32"/>
      <c r="H802" s="9"/>
      <c r="L802" s="9"/>
    </row>
    <row r="803" spans="2:12" ht="13" x14ac:dyDescent="0.3">
      <c r="B803" s="9"/>
      <c r="C803" s="9"/>
      <c r="D803" s="9"/>
      <c r="E803" s="16"/>
      <c r="F803" s="16"/>
      <c r="G803" s="32"/>
      <c r="H803" s="9"/>
      <c r="L803" s="9"/>
    </row>
    <row r="804" spans="2:12" ht="13" x14ac:dyDescent="0.3">
      <c r="B804" s="9"/>
      <c r="C804" s="9"/>
      <c r="D804" s="9"/>
      <c r="E804" s="16"/>
      <c r="F804" s="16"/>
      <c r="G804" s="32"/>
      <c r="H804" s="9"/>
      <c r="L804" s="9"/>
    </row>
    <row r="805" spans="2:12" ht="13" x14ac:dyDescent="0.3">
      <c r="B805" s="9"/>
      <c r="C805" s="9"/>
      <c r="D805" s="9"/>
      <c r="E805" s="16"/>
      <c r="F805" s="16"/>
      <c r="G805" s="32"/>
      <c r="H805" s="9"/>
      <c r="L805" s="9"/>
    </row>
    <row r="806" spans="2:12" ht="13" x14ac:dyDescent="0.3">
      <c r="B806" s="9"/>
      <c r="C806" s="9"/>
      <c r="D806" s="9"/>
      <c r="E806" s="16"/>
      <c r="F806" s="16"/>
      <c r="G806" s="32"/>
      <c r="H806" s="9"/>
      <c r="L806" s="9"/>
    </row>
    <row r="807" spans="2:12" ht="13" x14ac:dyDescent="0.3">
      <c r="B807" s="9"/>
      <c r="C807" s="9"/>
      <c r="D807" s="9"/>
      <c r="E807" s="16"/>
      <c r="F807" s="16"/>
      <c r="G807" s="32"/>
      <c r="H807" s="9"/>
      <c r="L807" s="9"/>
    </row>
    <row r="808" spans="2:12" ht="13" x14ac:dyDescent="0.3">
      <c r="B808" s="9"/>
      <c r="C808" s="9"/>
      <c r="D808" s="9"/>
      <c r="E808" s="16"/>
      <c r="F808" s="16"/>
      <c r="G808" s="32"/>
      <c r="H808" s="9"/>
      <c r="L808" s="9"/>
    </row>
    <row r="809" spans="2:12" ht="13" x14ac:dyDescent="0.3">
      <c r="B809" s="9"/>
      <c r="C809" s="9"/>
      <c r="D809" s="9"/>
      <c r="E809" s="16"/>
      <c r="F809" s="16"/>
      <c r="G809" s="32"/>
      <c r="H809" s="9"/>
      <c r="L809" s="9"/>
    </row>
    <row r="810" spans="2:12" ht="13" x14ac:dyDescent="0.3">
      <c r="B810" s="9"/>
      <c r="C810" s="9"/>
      <c r="D810" s="9"/>
      <c r="E810" s="16"/>
      <c r="F810" s="16"/>
      <c r="G810" s="32"/>
      <c r="H810" s="9"/>
      <c r="L810" s="9"/>
    </row>
    <row r="811" spans="2:12" ht="13" x14ac:dyDescent="0.3">
      <c r="B811" s="9"/>
      <c r="C811" s="9"/>
      <c r="D811" s="9"/>
      <c r="E811" s="16"/>
      <c r="F811" s="16"/>
      <c r="G811" s="32"/>
      <c r="H811" s="9"/>
      <c r="L811" s="9"/>
    </row>
    <row r="812" spans="2:12" ht="13" x14ac:dyDescent="0.3">
      <c r="B812" s="9"/>
      <c r="C812" s="9"/>
      <c r="D812" s="9"/>
      <c r="E812" s="16"/>
      <c r="F812" s="16"/>
      <c r="G812" s="32"/>
      <c r="H812" s="9"/>
      <c r="L812" s="9"/>
    </row>
    <row r="813" spans="2:12" ht="13" x14ac:dyDescent="0.3">
      <c r="B813" s="9"/>
      <c r="C813" s="9"/>
      <c r="D813" s="9"/>
      <c r="E813" s="16"/>
      <c r="F813" s="16"/>
      <c r="G813" s="32"/>
      <c r="H813" s="9"/>
      <c r="L813" s="9"/>
    </row>
    <row r="814" spans="2:12" ht="13" x14ac:dyDescent="0.3">
      <c r="B814" s="9"/>
      <c r="C814" s="9"/>
      <c r="D814" s="9"/>
      <c r="E814" s="16"/>
      <c r="F814" s="16"/>
      <c r="G814" s="32"/>
      <c r="H814" s="9"/>
      <c r="L814" s="9"/>
    </row>
    <row r="815" spans="2:12" ht="13" x14ac:dyDescent="0.3">
      <c r="B815" s="9"/>
      <c r="C815" s="9"/>
      <c r="D815" s="9"/>
      <c r="E815" s="16"/>
      <c r="F815" s="16"/>
      <c r="G815" s="32"/>
      <c r="H815" s="9"/>
      <c r="L815" s="9"/>
    </row>
    <row r="816" spans="2:12" ht="13" x14ac:dyDescent="0.3">
      <c r="B816" s="9"/>
      <c r="C816" s="9"/>
      <c r="D816" s="9"/>
      <c r="E816" s="16"/>
      <c r="F816" s="16"/>
      <c r="G816" s="32"/>
      <c r="H816" s="9"/>
      <c r="L816" s="9"/>
    </row>
    <row r="817" spans="2:12" ht="13" x14ac:dyDescent="0.3">
      <c r="B817" s="9"/>
      <c r="C817" s="9"/>
      <c r="D817" s="9"/>
      <c r="E817" s="16"/>
      <c r="F817" s="16"/>
      <c r="G817" s="32"/>
      <c r="H817" s="9"/>
      <c r="L817" s="9"/>
    </row>
    <row r="818" spans="2:12" ht="13" x14ac:dyDescent="0.3">
      <c r="B818" s="9"/>
      <c r="C818" s="9"/>
      <c r="D818" s="9"/>
      <c r="E818" s="16"/>
      <c r="F818" s="16"/>
      <c r="G818" s="32"/>
      <c r="H818" s="9"/>
      <c r="L818" s="9"/>
    </row>
    <row r="819" spans="2:12" ht="13" x14ac:dyDescent="0.3">
      <c r="B819" s="9"/>
      <c r="C819" s="9"/>
      <c r="D819" s="9"/>
      <c r="E819" s="16"/>
      <c r="F819" s="16"/>
      <c r="G819" s="32"/>
      <c r="H819" s="9"/>
      <c r="L819" s="9"/>
    </row>
    <row r="820" spans="2:12" ht="13" x14ac:dyDescent="0.3">
      <c r="B820" s="9"/>
      <c r="C820" s="9"/>
      <c r="D820" s="9"/>
      <c r="E820" s="16"/>
      <c r="F820" s="16"/>
      <c r="G820" s="32"/>
      <c r="H820" s="9"/>
      <c r="L820" s="9"/>
    </row>
    <row r="821" spans="2:12" ht="13" x14ac:dyDescent="0.3">
      <c r="B821" s="9"/>
      <c r="C821" s="9"/>
      <c r="D821" s="9"/>
      <c r="E821" s="16"/>
      <c r="F821" s="16"/>
      <c r="G821" s="32"/>
      <c r="H821" s="9"/>
      <c r="L821" s="9"/>
    </row>
    <row r="822" spans="2:12" ht="13" x14ac:dyDescent="0.3">
      <c r="B822" s="9"/>
      <c r="C822" s="9"/>
      <c r="D822" s="9"/>
      <c r="E822" s="16"/>
      <c r="F822" s="16"/>
      <c r="G822" s="32"/>
      <c r="H822" s="9"/>
      <c r="L822" s="9"/>
    </row>
    <row r="823" spans="2:12" ht="13" x14ac:dyDescent="0.3">
      <c r="B823" s="9"/>
      <c r="C823" s="9"/>
      <c r="D823" s="9"/>
      <c r="E823" s="16"/>
      <c r="F823" s="16"/>
      <c r="G823" s="32"/>
      <c r="H823" s="9"/>
      <c r="L823" s="9"/>
    </row>
    <row r="824" spans="2:12" ht="13" x14ac:dyDescent="0.3">
      <c r="B824" s="9"/>
      <c r="C824" s="9"/>
      <c r="D824" s="9"/>
      <c r="E824" s="16"/>
      <c r="F824" s="16"/>
      <c r="G824" s="32"/>
      <c r="H824" s="9"/>
      <c r="L824" s="9"/>
    </row>
    <row r="825" spans="2:12" ht="13" x14ac:dyDescent="0.3">
      <c r="B825" s="9"/>
      <c r="C825" s="9"/>
      <c r="D825" s="9"/>
      <c r="E825" s="16"/>
      <c r="F825" s="16"/>
      <c r="G825" s="32"/>
      <c r="H825" s="9"/>
      <c r="L825" s="9"/>
    </row>
    <row r="826" spans="2:12" ht="13" x14ac:dyDescent="0.3">
      <c r="B826" s="9"/>
      <c r="C826" s="9"/>
      <c r="D826" s="9"/>
      <c r="E826" s="16"/>
      <c r="F826" s="16"/>
      <c r="G826" s="32"/>
      <c r="H826" s="9"/>
      <c r="L826" s="9"/>
    </row>
    <row r="827" spans="2:12" ht="13" x14ac:dyDescent="0.3">
      <c r="B827" s="9"/>
      <c r="C827" s="9"/>
      <c r="D827" s="9"/>
      <c r="E827" s="16"/>
      <c r="F827" s="16"/>
      <c r="G827" s="32"/>
      <c r="H827" s="9"/>
      <c r="L827" s="9"/>
    </row>
    <row r="828" spans="2:12" ht="13" x14ac:dyDescent="0.3">
      <c r="B828" s="9"/>
      <c r="C828" s="9"/>
      <c r="D828" s="9"/>
      <c r="E828" s="16"/>
      <c r="F828" s="16"/>
      <c r="G828" s="32"/>
      <c r="H828" s="9"/>
      <c r="L828" s="9"/>
    </row>
    <row r="829" spans="2:12" ht="13" x14ac:dyDescent="0.3">
      <c r="B829" s="9"/>
      <c r="C829" s="9"/>
      <c r="D829" s="9"/>
      <c r="E829" s="16"/>
      <c r="F829" s="16"/>
      <c r="G829" s="32"/>
      <c r="H829" s="9"/>
      <c r="L829" s="9"/>
    </row>
    <row r="830" spans="2:12" ht="13" x14ac:dyDescent="0.3">
      <c r="B830" s="9"/>
      <c r="C830" s="9"/>
      <c r="D830" s="9"/>
      <c r="E830" s="16"/>
      <c r="F830" s="16"/>
      <c r="G830" s="32"/>
      <c r="H830" s="9"/>
      <c r="L830" s="9"/>
    </row>
    <row r="831" spans="2:12" ht="13" x14ac:dyDescent="0.3">
      <c r="B831" s="9"/>
      <c r="C831" s="9"/>
      <c r="D831" s="9"/>
      <c r="E831" s="16"/>
      <c r="F831" s="16"/>
      <c r="G831" s="32"/>
      <c r="H831" s="9"/>
      <c r="L831" s="9"/>
    </row>
    <row r="832" spans="2:12" ht="13" x14ac:dyDescent="0.3">
      <c r="B832" s="9"/>
      <c r="C832" s="9"/>
      <c r="D832" s="9"/>
      <c r="E832" s="16"/>
      <c r="F832" s="16"/>
      <c r="G832" s="32"/>
      <c r="H832" s="9"/>
      <c r="L832" s="9"/>
    </row>
    <row r="833" spans="2:12" ht="13" x14ac:dyDescent="0.3">
      <c r="B833" s="9"/>
      <c r="C833" s="9"/>
      <c r="D833" s="9"/>
      <c r="E833" s="16"/>
      <c r="F833" s="16"/>
      <c r="G833" s="32"/>
      <c r="H833" s="9"/>
      <c r="L833" s="9"/>
    </row>
    <row r="834" spans="2:12" ht="13" x14ac:dyDescent="0.3">
      <c r="B834" s="9"/>
      <c r="C834" s="9"/>
      <c r="D834" s="9"/>
      <c r="E834" s="16"/>
      <c r="F834" s="16"/>
      <c r="G834" s="32"/>
      <c r="H834" s="9"/>
      <c r="L834" s="9"/>
    </row>
    <row r="835" spans="2:12" ht="13" x14ac:dyDescent="0.3">
      <c r="B835" s="9"/>
      <c r="C835" s="9"/>
      <c r="D835" s="9"/>
      <c r="E835" s="16"/>
      <c r="F835" s="16"/>
      <c r="G835" s="32"/>
      <c r="H835" s="9"/>
      <c r="L835" s="9"/>
    </row>
    <row r="836" spans="2:12" ht="13" x14ac:dyDescent="0.3">
      <c r="B836" s="9"/>
      <c r="C836" s="9"/>
      <c r="D836" s="9"/>
      <c r="E836" s="16"/>
      <c r="F836" s="16"/>
      <c r="G836" s="32"/>
      <c r="H836" s="9"/>
      <c r="L836" s="9"/>
    </row>
    <row r="837" spans="2:12" ht="13" x14ac:dyDescent="0.3">
      <c r="B837" s="9"/>
      <c r="C837" s="9"/>
      <c r="D837" s="9"/>
      <c r="E837" s="16"/>
      <c r="F837" s="16"/>
      <c r="G837" s="32"/>
      <c r="H837" s="9"/>
      <c r="L837" s="9"/>
    </row>
    <row r="838" spans="2:12" ht="13" x14ac:dyDescent="0.3">
      <c r="B838" s="9"/>
      <c r="C838" s="9"/>
      <c r="D838" s="9"/>
      <c r="E838" s="16"/>
      <c r="F838" s="16"/>
      <c r="G838" s="32"/>
      <c r="H838" s="9"/>
      <c r="L838" s="9"/>
    </row>
    <row r="839" spans="2:12" ht="13" x14ac:dyDescent="0.3">
      <c r="B839" s="9"/>
      <c r="C839" s="9"/>
      <c r="D839" s="9"/>
      <c r="E839" s="16"/>
      <c r="F839" s="16"/>
      <c r="G839" s="32"/>
      <c r="H839" s="9"/>
      <c r="L839" s="9"/>
    </row>
    <row r="840" spans="2:12" ht="13" x14ac:dyDescent="0.3">
      <c r="B840" s="9"/>
      <c r="C840" s="9"/>
      <c r="D840" s="9"/>
      <c r="E840" s="16"/>
      <c r="F840" s="16"/>
      <c r="G840" s="32"/>
      <c r="H840" s="9"/>
      <c r="L840" s="9"/>
    </row>
    <row r="841" spans="2:12" ht="13" x14ac:dyDescent="0.3">
      <c r="B841" s="9"/>
      <c r="C841" s="9"/>
      <c r="D841" s="9"/>
      <c r="E841" s="16"/>
      <c r="F841" s="16"/>
      <c r="G841" s="32"/>
      <c r="H841" s="9"/>
      <c r="L841" s="9"/>
    </row>
    <row r="842" spans="2:12" ht="13" x14ac:dyDescent="0.3">
      <c r="B842" s="9"/>
      <c r="C842" s="9"/>
      <c r="D842" s="9"/>
      <c r="E842" s="16"/>
      <c r="F842" s="16"/>
      <c r="G842" s="32"/>
      <c r="H842" s="9"/>
      <c r="L842" s="9"/>
    </row>
    <row r="843" spans="2:12" ht="13" x14ac:dyDescent="0.3">
      <c r="B843" s="9"/>
      <c r="C843" s="9"/>
      <c r="D843" s="9"/>
      <c r="E843" s="16"/>
      <c r="F843" s="16"/>
      <c r="G843" s="32"/>
      <c r="H843" s="9"/>
      <c r="L843" s="9"/>
    </row>
    <row r="844" spans="2:12" ht="13" x14ac:dyDescent="0.3">
      <c r="B844" s="9"/>
      <c r="C844" s="9"/>
      <c r="D844" s="9"/>
      <c r="E844" s="16"/>
      <c r="F844" s="16"/>
      <c r="G844" s="32"/>
      <c r="H844" s="9"/>
      <c r="L844" s="9"/>
    </row>
    <row r="845" spans="2:12" ht="13" x14ac:dyDescent="0.3">
      <c r="B845" s="9"/>
      <c r="C845" s="9"/>
      <c r="D845" s="9"/>
      <c r="E845" s="16"/>
      <c r="F845" s="16"/>
      <c r="G845" s="32"/>
      <c r="H845" s="9"/>
      <c r="L845" s="9"/>
    </row>
    <row r="846" spans="2:12" ht="13" x14ac:dyDescent="0.3">
      <c r="B846" s="9"/>
      <c r="C846" s="9"/>
      <c r="D846" s="9"/>
      <c r="E846" s="16"/>
      <c r="F846" s="16"/>
      <c r="G846" s="32"/>
      <c r="H846" s="9"/>
      <c r="L846" s="9"/>
    </row>
    <row r="847" spans="2:12" ht="13" x14ac:dyDescent="0.3">
      <c r="B847" s="9"/>
      <c r="C847" s="9"/>
      <c r="D847" s="9"/>
      <c r="E847" s="16"/>
      <c r="F847" s="16"/>
      <c r="G847" s="32"/>
      <c r="H847" s="9"/>
      <c r="L847" s="9"/>
    </row>
    <row r="848" spans="2:12" ht="13" x14ac:dyDescent="0.3">
      <c r="B848" s="9"/>
      <c r="C848" s="9"/>
      <c r="D848" s="9"/>
      <c r="E848" s="16"/>
      <c r="F848" s="16"/>
      <c r="G848" s="32"/>
      <c r="H848" s="9"/>
      <c r="L848" s="9"/>
    </row>
    <row r="849" spans="2:12" ht="13" x14ac:dyDescent="0.3">
      <c r="B849" s="9"/>
      <c r="C849" s="9"/>
      <c r="D849" s="9"/>
      <c r="E849" s="16"/>
      <c r="F849" s="16"/>
      <c r="G849" s="32"/>
      <c r="H849" s="9"/>
      <c r="L849" s="9"/>
    </row>
    <row r="850" spans="2:12" ht="13" x14ac:dyDescent="0.3">
      <c r="B850" s="9"/>
      <c r="C850" s="9"/>
      <c r="D850" s="9"/>
      <c r="E850" s="16"/>
      <c r="F850" s="16"/>
      <c r="G850" s="32"/>
      <c r="H850" s="9"/>
      <c r="L850" s="9"/>
    </row>
    <row r="851" spans="2:12" ht="13" x14ac:dyDescent="0.3">
      <c r="B851" s="9"/>
      <c r="C851" s="9"/>
      <c r="D851" s="9"/>
      <c r="E851" s="16"/>
      <c r="F851" s="16"/>
      <c r="G851" s="32"/>
      <c r="H851" s="9"/>
      <c r="L851" s="9"/>
    </row>
    <row r="852" spans="2:12" ht="13" x14ac:dyDescent="0.3">
      <c r="B852" s="9"/>
      <c r="C852" s="9"/>
      <c r="D852" s="9"/>
      <c r="E852" s="16"/>
      <c r="F852" s="16"/>
      <c r="G852" s="32"/>
      <c r="H852" s="9"/>
      <c r="L852" s="9"/>
    </row>
    <row r="853" spans="2:12" ht="13" x14ac:dyDescent="0.3">
      <c r="B853" s="9"/>
      <c r="C853" s="9"/>
      <c r="D853" s="9"/>
      <c r="E853" s="16"/>
      <c r="F853" s="16"/>
      <c r="G853" s="32"/>
      <c r="H853" s="9"/>
      <c r="L853" s="9"/>
    </row>
    <row r="854" spans="2:12" ht="13" x14ac:dyDescent="0.3">
      <c r="B854" s="9"/>
      <c r="C854" s="9"/>
      <c r="D854" s="9"/>
      <c r="E854" s="16"/>
      <c r="F854" s="16"/>
      <c r="G854" s="32"/>
      <c r="H854" s="9"/>
      <c r="L854" s="9"/>
    </row>
    <row r="855" spans="2:12" ht="13" x14ac:dyDescent="0.3">
      <c r="B855" s="9"/>
      <c r="C855" s="9"/>
      <c r="D855" s="9"/>
      <c r="E855" s="16"/>
      <c r="F855" s="16"/>
      <c r="G855" s="32"/>
      <c r="H855" s="9"/>
      <c r="L855" s="9"/>
    </row>
    <row r="856" spans="2:12" ht="13" x14ac:dyDescent="0.3">
      <c r="B856" s="9"/>
      <c r="C856" s="9"/>
      <c r="D856" s="9"/>
      <c r="E856" s="16"/>
      <c r="F856" s="16"/>
      <c r="G856" s="32"/>
      <c r="H856" s="9"/>
      <c r="L856" s="9"/>
    </row>
    <row r="857" spans="2:12" ht="13" x14ac:dyDescent="0.3">
      <c r="B857" s="9"/>
      <c r="C857" s="9"/>
      <c r="D857" s="9"/>
      <c r="E857" s="16"/>
      <c r="F857" s="16"/>
      <c r="G857" s="32"/>
      <c r="H857" s="9"/>
      <c r="L857" s="9"/>
    </row>
    <row r="858" spans="2:12" ht="13" x14ac:dyDescent="0.3">
      <c r="B858" s="9"/>
      <c r="C858" s="9"/>
      <c r="D858" s="9"/>
      <c r="E858" s="16"/>
      <c r="F858" s="16"/>
      <c r="G858" s="32"/>
      <c r="H858" s="9"/>
      <c r="L858" s="9"/>
    </row>
    <row r="859" spans="2:12" ht="13" x14ac:dyDescent="0.3">
      <c r="B859" s="9"/>
      <c r="C859" s="9"/>
      <c r="D859" s="9"/>
      <c r="E859" s="16"/>
      <c r="F859" s="16"/>
      <c r="G859" s="32"/>
      <c r="H859" s="9"/>
      <c r="L859" s="9"/>
    </row>
    <row r="860" spans="2:12" ht="13" x14ac:dyDescent="0.3">
      <c r="B860" s="9"/>
      <c r="C860" s="9"/>
      <c r="D860" s="9"/>
      <c r="E860" s="16"/>
      <c r="F860" s="16"/>
      <c r="G860" s="32"/>
      <c r="H860" s="9"/>
      <c r="L860" s="9"/>
    </row>
    <row r="861" spans="2:12" ht="13" x14ac:dyDescent="0.3">
      <c r="B861" s="9"/>
      <c r="C861" s="9"/>
      <c r="D861" s="9"/>
      <c r="E861" s="16"/>
      <c r="F861" s="16"/>
      <c r="G861" s="32"/>
      <c r="H861" s="9"/>
      <c r="L861" s="9"/>
    </row>
    <row r="862" spans="2:12" ht="13" x14ac:dyDescent="0.3">
      <c r="B862" s="9"/>
      <c r="C862" s="9"/>
      <c r="D862" s="9"/>
      <c r="E862" s="16"/>
      <c r="F862" s="16"/>
      <c r="G862" s="32"/>
      <c r="H862" s="9"/>
      <c r="L862" s="9"/>
    </row>
    <row r="863" spans="2:12" ht="13" x14ac:dyDescent="0.3">
      <c r="B863" s="9"/>
      <c r="C863" s="9"/>
      <c r="D863" s="9"/>
      <c r="E863" s="16"/>
      <c r="F863" s="16"/>
      <c r="G863" s="32"/>
      <c r="H863" s="9"/>
      <c r="L863" s="9"/>
    </row>
    <row r="864" spans="2:12" ht="13" x14ac:dyDescent="0.3">
      <c r="B864" s="9"/>
      <c r="C864" s="9"/>
      <c r="D864" s="9"/>
      <c r="E864" s="16"/>
      <c r="F864" s="16"/>
      <c r="G864" s="32"/>
      <c r="H864" s="9"/>
      <c r="L864" s="9"/>
    </row>
    <row r="865" spans="2:12" ht="13" x14ac:dyDescent="0.3">
      <c r="B865" s="9"/>
      <c r="C865" s="9"/>
      <c r="D865" s="9"/>
      <c r="E865" s="16"/>
      <c r="F865" s="16"/>
      <c r="G865" s="32"/>
      <c r="H865" s="9"/>
      <c r="L865" s="9"/>
    </row>
    <row r="866" spans="2:12" ht="13" x14ac:dyDescent="0.3">
      <c r="B866" s="9"/>
      <c r="C866" s="9"/>
      <c r="D866" s="9"/>
      <c r="E866" s="16"/>
      <c r="F866" s="16"/>
      <c r="G866" s="32"/>
      <c r="H866" s="9"/>
      <c r="L866" s="9"/>
    </row>
    <row r="867" spans="2:12" ht="13" x14ac:dyDescent="0.3">
      <c r="B867" s="9"/>
      <c r="C867" s="9"/>
      <c r="D867" s="9"/>
      <c r="E867" s="16"/>
      <c r="F867" s="16"/>
      <c r="G867" s="32"/>
      <c r="H867" s="9"/>
      <c r="L867" s="9"/>
    </row>
    <row r="868" spans="2:12" ht="13" x14ac:dyDescent="0.3">
      <c r="B868" s="9"/>
      <c r="C868" s="9"/>
      <c r="D868" s="9"/>
      <c r="E868" s="16"/>
      <c r="F868" s="16"/>
      <c r="G868" s="32"/>
      <c r="H868" s="9"/>
      <c r="L868" s="9"/>
    </row>
    <row r="869" spans="2:12" ht="13" x14ac:dyDescent="0.3">
      <c r="B869" s="9"/>
      <c r="C869" s="9"/>
      <c r="D869" s="9"/>
      <c r="E869" s="16"/>
      <c r="F869" s="16"/>
      <c r="G869" s="32"/>
      <c r="H869" s="9"/>
      <c r="L869" s="9"/>
    </row>
    <row r="870" spans="2:12" ht="13" x14ac:dyDescent="0.3">
      <c r="B870" s="9"/>
      <c r="C870" s="9"/>
      <c r="D870" s="9"/>
      <c r="E870" s="16"/>
      <c r="F870" s="16"/>
      <c r="G870" s="32"/>
      <c r="H870" s="9"/>
      <c r="L870" s="9"/>
    </row>
    <row r="871" spans="2:12" ht="13" x14ac:dyDescent="0.3">
      <c r="B871" s="9"/>
      <c r="C871" s="9"/>
      <c r="D871" s="9"/>
      <c r="E871" s="16"/>
      <c r="F871" s="16"/>
      <c r="G871" s="32"/>
      <c r="H871" s="9"/>
      <c r="L871" s="9"/>
    </row>
    <row r="872" spans="2:12" ht="13" x14ac:dyDescent="0.3">
      <c r="B872" s="9"/>
      <c r="C872" s="9"/>
      <c r="D872" s="9"/>
      <c r="E872" s="16"/>
      <c r="F872" s="16"/>
      <c r="G872" s="32"/>
      <c r="H872" s="9"/>
      <c r="L872" s="9"/>
    </row>
    <row r="873" spans="2:12" ht="13" x14ac:dyDescent="0.3">
      <c r="B873" s="9"/>
      <c r="C873" s="9"/>
      <c r="D873" s="9"/>
      <c r="E873" s="16"/>
      <c r="F873" s="16"/>
      <c r="G873" s="32"/>
      <c r="H873" s="9"/>
      <c r="L873" s="9"/>
    </row>
    <row r="874" spans="2:12" ht="13" x14ac:dyDescent="0.3">
      <c r="B874" s="9"/>
      <c r="C874" s="9"/>
      <c r="D874" s="9"/>
      <c r="E874" s="16"/>
      <c r="F874" s="16"/>
      <c r="G874" s="32"/>
      <c r="H874" s="9"/>
      <c r="L874" s="9"/>
    </row>
    <row r="875" spans="2:12" ht="13" x14ac:dyDescent="0.3">
      <c r="B875" s="9"/>
      <c r="C875" s="9"/>
      <c r="D875" s="9"/>
      <c r="E875" s="16"/>
      <c r="F875" s="16"/>
      <c r="G875" s="32"/>
      <c r="H875" s="9"/>
      <c r="L875" s="9"/>
    </row>
    <row r="876" spans="2:12" ht="13" x14ac:dyDescent="0.3">
      <c r="B876" s="9"/>
      <c r="C876" s="9"/>
      <c r="D876" s="9"/>
      <c r="E876" s="16"/>
      <c r="F876" s="16"/>
      <c r="G876" s="32"/>
      <c r="H876" s="9"/>
      <c r="L876" s="9"/>
    </row>
    <row r="877" spans="2:12" ht="13" x14ac:dyDescent="0.3">
      <c r="B877" s="9"/>
      <c r="C877" s="9"/>
      <c r="D877" s="9"/>
      <c r="E877" s="16"/>
      <c r="F877" s="16"/>
      <c r="G877" s="32"/>
      <c r="H877" s="9"/>
      <c r="L877" s="9"/>
    </row>
    <row r="878" spans="2:12" ht="13" x14ac:dyDescent="0.3">
      <c r="B878" s="9"/>
      <c r="C878" s="9"/>
      <c r="D878" s="9"/>
      <c r="E878" s="16"/>
      <c r="F878" s="16"/>
      <c r="G878" s="32"/>
      <c r="H878" s="9"/>
      <c r="L878" s="9"/>
    </row>
    <row r="879" spans="2:12" ht="13" x14ac:dyDescent="0.3">
      <c r="B879" s="9"/>
      <c r="C879" s="9"/>
      <c r="D879" s="9"/>
      <c r="E879" s="16"/>
      <c r="F879" s="16"/>
      <c r="G879" s="32"/>
      <c r="H879" s="9"/>
      <c r="L879" s="9"/>
    </row>
    <row r="880" spans="2:12" ht="13" x14ac:dyDescent="0.3">
      <c r="B880" s="9"/>
      <c r="C880" s="9"/>
      <c r="D880" s="9"/>
      <c r="E880" s="16"/>
      <c r="F880" s="16"/>
      <c r="G880" s="32"/>
      <c r="H880" s="9"/>
      <c r="L880" s="9"/>
    </row>
    <row r="881" spans="2:12" ht="13" x14ac:dyDescent="0.3">
      <c r="B881" s="9"/>
      <c r="C881" s="9"/>
      <c r="D881" s="9"/>
      <c r="E881" s="16"/>
      <c r="F881" s="16"/>
      <c r="G881" s="32"/>
      <c r="H881" s="9"/>
      <c r="L881" s="9"/>
    </row>
    <row r="882" spans="2:12" ht="13" x14ac:dyDescent="0.3">
      <c r="B882" s="9"/>
      <c r="C882" s="9"/>
      <c r="D882" s="9"/>
      <c r="E882" s="16"/>
      <c r="F882" s="16"/>
      <c r="G882" s="32"/>
      <c r="H882" s="9"/>
      <c r="L882" s="9"/>
    </row>
    <row r="883" spans="2:12" ht="13" x14ac:dyDescent="0.3">
      <c r="B883" s="9"/>
      <c r="C883" s="9"/>
      <c r="D883" s="9"/>
      <c r="E883" s="16"/>
      <c r="F883" s="16"/>
      <c r="G883" s="32"/>
      <c r="H883" s="9"/>
      <c r="L883" s="9"/>
    </row>
    <row r="884" spans="2:12" ht="13" x14ac:dyDescent="0.3">
      <c r="B884" s="9"/>
      <c r="C884" s="9"/>
      <c r="D884" s="9"/>
      <c r="E884" s="16"/>
      <c r="F884" s="16"/>
      <c r="G884" s="32"/>
      <c r="H884" s="9"/>
      <c r="L884" s="9"/>
    </row>
    <row r="885" spans="2:12" ht="13" x14ac:dyDescent="0.3">
      <c r="B885" s="9"/>
      <c r="C885" s="9"/>
      <c r="D885" s="9"/>
      <c r="E885" s="16"/>
      <c r="F885" s="16"/>
      <c r="G885" s="32"/>
      <c r="H885" s="9"/>
      <c r="L885" s="9"/>
    </row>
    <row r="886" spans="2:12" ht="13" x14ac:dyDescent="0.3">
      <c r="B886" s="9"/>
      <c r="C886" s="9"/>
      <c r="D886" s="9"/>
      <c r="E886" s="16"/>
      <c r="F886" s="16"/>
      <c r="G886" s="32"/>
      <c r="H886" s="9"/>
      <c r="L886" s="9"/>
    </row>
    <row r="887" spans="2:12" ht="13" x14ac:dyDescent="0.3">
      <c r="B887" s="9"/>
      <c r="C887" s="9"/>
      <c r="D887" s="9"/>
      <c r="E887" s="16"/>
      <c r="F887" s="16"/>
      <c r="G887" s="32"/>
      <c r="H887" s="9"/>
      <c r="L887" s="9"/>
    </row>
    <row r="888" spans="2:12" ht="13" x14ac:dyDescent="0.3">
      <c r="B888" s="9"/>
      <c r="C888" s="9"/>
      <c r="D888" s="9"/>
      <c r="E888" s="16"/>
      <c r="F888" s="16"/>
      <c r="G888" s="32"/>
      <c r="H888" s="9"/>
      <c r="L888" s="9"/>
    </row>
    <row r="889" spans="2:12" ht="13" x14ac:dyDescent="0.3">
      <c r="B889" s="9"/>
      <c r="C889" s="9"/>
      <c r="D889" s="9"/>
      <c r="E889" s="16"/>
      <c r="F889" s="16"/>
      <c r="G889" s="32"/>
      <c r="H889" s="9"/>
      <c r="L889" s="9"/>
    </row>
    <row r="890" spans="2:12" ht="13" x14ac:dyDescent="0.3">
      <c r="B890" s="9"/>
      <c r="C890" s="9"/>
      <c r="D890" s="9"/>
      <c r="E890" s="16"/>
      <c r="F890" s="16"/>
      <c r="G890" s="32"/>
      <c r="H890" s="9"/>
      <c r="L890" s="9"/>
    </row>
    <row r="891" spans="2:12" ht="13" x14ac:dyDescent="0.3">
      <c r="B891" s="9"/>
      <c r="C891" s="9"/>
      <c r="D891" s="9"/>
      <c r="E891" s="16"/>
      <c r="F891" s="16"/>
      <c r="G891" s="32"/>
      <c r="H891" s="9"/>
      <c r="L891" s="9"/>
    </row>
    <row r="892" spans="2:12" ht="13" x14ac:dyDescent="0.3">
      <c r="B892" s="9"/>
      <c r="C892" s="9"/>
      <c r="D892" s="9"/>
      <c r="E892" s="16"/>
      <c r="F892" s="16"/>
      <c r="G892" s="32"/>
      <c r="H892" s="9"/>
      <c r="L892" s="9"/>
    </row>
    <row r="893" spans="2:12" ht="13" x14ac:dyDescent="0.3">
      <c r="B893" s="9"/>
      <c r="C893" s="9"/>
      <c r="D893" s="9"/>
      <c r="E893" s="16"/>
      <c r="F893" s="16"/>
      <c r="G893" s="32"/>
      <c r="H893" s="9"/>
      <c r="L893" s="9"/>
    </row>
    <row r="894" spans="2:12" ht="13" x14ac:dyDescent="0.3">
      <c r="B894" s="9"/>
      <c r="C894" s="9"/>
      <c r="D894" s="9"/>
      <c r="E894" s="16"/>
      <c r="F894" s="16"/>
      <c r="G894" s="32"/>
      <c r="H894" s="9"/>
      <c r="L894" s="9"/>
    </row>
    <row r="895" spans="2:12" ht="13" x14ac:dyDescent="0.3">
      <c r="B895" s="9"/>
      <c r="C895" s="9"/>
      <c r="D895" s="9"/>
      <c r="E895" s="16"/>
      <c r="F895" s="16"/>
      <c r="G895" s="32"/>
      <c r="H895" s="9"/>
      <c r="L895" s="9"/>
    </row>
    <row r="896" spans="2:12" ht="13" x14ac:dyDescent="0.3">
      <c r="B896" s="9"/>
      <c r="C896" s="9"/>
      <c r="D896" s="9"/>
      <c r="E896" s="16"/>
      <c r="F896" s="16"/>
      <c r="G896" s="32"/>
      <c r="H896" s="9"/>
      <c r="L896" s="9"/>
    </row>
    <row r="897" spans="2:12" ht="13" x14ac:dyDescent="0.3">
      <c r="B897" s="9"/>
      <c r="C897" s="9"/>
      <c r="D897" s="9"/>
      <c r="E897" s="16"/>
      <c r="F897" s="16"/>
      <c r="G897" s="32"/>
      <c r="H897" s="9"/>
      <c r="L897" s="9"/>
    </row>
    <row r="898" spans="2:12" ht="13" x14ac:dyDescent="0.3">
      <c r="B898" s="9"/>
      <c r="C898" s="9"/>
      <c r="D898" s="9"/>
      <c r="E898" s="16"/>
      <c r="F898" s="16"/>
      <c r="G898" s="32"/>
      <c r="H898" s="9"/>
      <c r="L898" s="9"/>
    </row>
    <row r="899" spans="2:12" ht="13" x14ac:dyDescent="0.3">
      <c r="B899" s="9"/>
      <c r="C899" s="9"/>
      <c r="D899" s="9"/>
      <c r="E899" s="16"/>
      <c r="F899" s="16"/>
      <c r="G899" s="32"/>
      <c r="H899" s="9"/>
      <c r="L899" s="9"/>
    </row>
    <row r="900" spans="2:12" ht="13" x14ac:dyDescent="0.3">
      <c r="B900" s="9"/>
      <c r="C900" s="9"/>
      <c r="D900" s="9"/>
      <c r="E900" s="16"/>
      <c r="F900" s="16"/>
      <c r="G900" s="32"/>
      <c r="H900" s="9"/>
      <c r="L900" s="9"/>
    </row>
    <row r="901" spans="2:12" ht="13" x14ac:dyDescent="0.3">
      <c r="B901" s="9"/>
      <c r="C901" s="9"/>
      <c r="D901" s="9"/>
      <c r="E901" s="16"/>
      <c r="F901" s="16"/>
      <c r="G901" s="32"/>
      <c r="H901" s="9"/>
      <c r="L901" s="9"/>
    </row>
    <row r="902" spans="2:12" ht="13" x14ac:dyDescent="0.3">
      <c r="B902" s="9"/>
      <c r="C902" s="9"/>
      <c r="D902" s="9"/>
      <c r="E902" s="16"/>
      <c r="F902" s="16"/>
      <c r="G902" s="32"/>
      <c r="H902" s="9"/>
      <c r="L902" s="9"/>
    </row>
    <row r="903" spans="2:12" ht="13" x14ac:dyDescent="0.3">
      <c r="B903" s="9"/>
      <c r="C903" s="9"/>
      <c r="D903" s="9"/>
      <c r="E903" s="16"/>
      <c r="F903" s="16"/>
      <c r="G903" s="32"/>
      <c r="H903" s="9"/>
      <c r="L903" s="9"/>
    </row>
    <row r="904" spans="2:12" ht="13" x14ac:dyDescent="0.3">
      <c r="B904" s="9"/>
      <c r="C904" s="9"/>
      <c r="D904" s="9"/>
      <c r="E904" s="16"/>
      <c r="F904" s="16"/>
      <c r="G904" s="32"/>
      <c r="H904" s="9"/>
      <c r="L904" s="9"/>
    </row>
    <row r="905" spans="2:12" ht="13" x14ac:dyDescent="0.3">
      <c r="B905" s="9"/>
      <c r="C905" s="9"/>
      <c r="D905" s="9"/>
      <c r="E905" s="16"/>
      <c r="F905" s="16"/>
      <c r="G905" s="32"/>
      <c r="H905" s="9"/>
      <c r="L905" s="9"/>
    </row>
    <row r="906" spans="2:12" ht="13" x14ac:dyDescent="0.3">
      <c r="B906" s="9"/>
      <c r="C906" s="9"/>
      <c r="D906" s="9"/>
      <c r="E906" s="16"/>
      <c r="F906" s="16"/>
      <c r="G906" s="32"/>
      <c r="H906" s="9"/>
      <c r="L906" s="9"/>
    </row>
    <row r="907" spans="2:12" ht="13" x14ac:dyDescent="0.3">
      <c r="B907" s="9"/>
      <c r="C907" s="9"/>
      <c r="D907" s="9"/>
      <c r="E907" s="16"/>
      <c r="F907" s="16"/>
      <c r="G907" s="32"/>
      <c r="H907" s="9"/>
      <c r="L907" s="9"/>
    </row>
    <row r="908" spans="2:12" ht="13" x14ac:dyDescent="0.3">
      <c r="B908" s="9"/>
      <c r="C908" s="9"/>
      <c r="D908" s="9"/>
      <c r="E908" s="16"/>
      <c r="F908" s="16"/>
      <c r="G908" s="32"/>
      <c r="H908" s="9"/>
      <c r="L908" s="9"/>
    </row>
    <row r="909" spans="2:12" ht="13" x14ac:dyDescent="0.3">
      <c r="B909" s="9"/>
      <c r="C909" s="9"/>
      <c r="D909" s="9"/>
      <c r="E909" s="16"/>
      <c r="F909" s="16"/>
      <c r="G909" s="32"/>
      <c r="H909" s="9"/>
      <c r="L909" s="9"/>
    </row>
    <row r="910" spans="2:12" ht="13" x14ac:dyDescent="0.3">
      <c r="B910" s="9"/>
      <c r="C910" s="9"/>
      <c r="D910" s="9"/>
      <c r="E910" s="16"/>
      <c r="F910" s="16"/>
      <c r="G910" s="32"/>
      <c r="H910" s="9"/>
      <c r="L910" s="9"/>
    </row>
    <row r="911" spans="2:12" ht="13" x14ac:dyDescent="0.3">
      <c r="B911" s="9"/>
      <c r="C911" s="9"/>
      <c r="D911" s="9"/>
      <c r="E911" s="16"/>
      <c r="F911" s="16"/>
      <c r="G911" s="32"/>
      <c r="H911" s="9"/>
      <c r="L911" s="9"/>
    </row>
    <row r="912" spans="2:12" ht="13" x14ac:dyDescent="0.3">
      <c r="B912" s="9"/>
      <c r="C912" s="9"/>
      <c r="D912" s="9"/>
      <c r="E912" s="16"/>
      <c r="F912" s="16"/>
      <c r="G912" s="32"/>
      <c r="H912" s="9"/>
      <c r="L912" s="9"/>
    </row>
    <row r="913" spans="2:12" ht="13" x14ac:dyDescent="0.3">
      <c r="B913" s="9"/>
      <c r="C913" s="9"/>
      <c r="D913" s="9"/>
      <c r="E913" s="16"/>
      <c r="F913" s="16"/>
      <c r="G913" s="32"/>
      <c r="H913" s="9"/>
      <c r="L913" s="9"/>
    </row>
    <row r="914" spans="2:12" ht="13" x14ac:dyDescent="0.3">
      <c r="B914" s="9"/>
      <c r="C914" s="9"/>
      <c r="D914" s="9"/>
      <c r="E914" s="16"/>
      <c r="F914" s="16"/>
      <c r="G914" s="32"/>
      <c r="H914" s="9"/>
      <c r="L914" s="9"/>
    </row>
    <row r="915" spans="2:12" ht="13" x14ac:dyDescent="0.3">
      <c r="B915" s="9"/>
      <c r="C915" s="9"/>
      <c r="D915" s="9"/>
      <c r="E915" s="16"/>
      <c r="F915" s="16"/>
      <c r="G915" s="32"/>
      <c r="H915" s="9"/>
      <c r="L915" s="9"/>
    </row>
    <row r="916" spans="2:12" ht="13" x14ac:dyDescent="0.3">
      <c r="B916" s="9"/>
      <c r="C916" s="9"/>
      <c r="D916" s="9"/>
      <c r="E916" s="16"/>
      <c r="F916" s="16"/>
      <c r="G916" s="32"/>
      <c r="H916" s="9"/>
      <c r="L916" s="9"/>
    </row>
    <row r="917" spans="2:12" ht="13" x14ac:dyDescent="0.3">
      <c r="B917" s="9"/>
      <c r="C917" s="9"/>
      <c r="D917" s="9"/>
      <c r="E917" s="16"/>
      <c r="F917" s="16"/>
      <c r="G917" s="32"/>
      <c r="H917" s="9"/>
      <c r="L917" s="9"/>
    </row>
    <row r="918" spans="2:12" ht="13" x14ac:dyDescent="0.3">
      <c r="B918" s="9"/>
      <c r="C918" s="9"/>
      <c r="D918" s="9"/>
      <c r="E918" s="16"/>
      <c r="F918" s="16"/>
      <c r="G918" s="32"/>
      <c r="H918" s="9"/>
      <c r="L918" s="9"/>
    </row>
    <row r="919" spans="2:12" ht="13" x14ac:dyDescent="0.3">
      <c r="B919" s="9"/>
      <c r="C919" s="9"/>
      <c r="D919" s="9"/>
      <c r="E919" s="16"/>
      <c r="F919" s="16"/>
      <c r="G919" s="32"/>
      <c r="H919" s="9"/>
      <c r="L919" s="9"/>
    </row>
    <row r="920" spans="2:12" ht="13" x14ac:dyDescent="0.3">
      <c r="B920" s="9"/>
      <c r="C920" s="9"/>
      <c r="D920" s="9"/>
      <c r="E920" s="16"/>
      <c r="F920" s="16"/>
      <c r="G920" s="32"/>
      <c r="H920" s="9"/>
      <c r="L920" s="9"/>
    </row>
    <row r="921" spans="2:12" ht="13" x14ac:dyDescent="0.3">
      <c r="B921" s="9"/>
      <c r="C921" s="9"/>
      <c r="D921" s="9"/>
      <c r="E921" s="16"/>
      <c r="F921" s="16"/>
      <c r="G921" s="32"/>
      <c r="H921" s="9"/>
      <c r="L921" s="9"/>
    </row>
    <row r="922" spans="2:12" ht="13" x14ac:dyDescent="0.3">
      <c r="B922" s="9"/>
      <c r="C922" s="9"/>
      <c r="D922" s="9"/>
      <c r="E922" s="16"/>
      <c r="F922" s="16"/>
      <c r="G922" s="32"/>
      <c r="H922" s="9"/>
      <c r="L922" s="9"/>
    </row>
    <row r="923" spans="2:12" ht="13" x14ac:dyDescent="0.3">
      <c r="B923" s="9"/>
      <c r="C923" s="9"/>
      <c r="D923" s="9"/>
      <c r="E923" s="16"/>
      <c r="F923" s="16"/>
      <c r="G923" s="32"/>
      <c r="H923" s="9"/>
      <c r="L923" s="9"/>
    </row>
    <row r="924" spans="2:12" ht="13" x14ac:dyDescent="0.3">
      <c r="B924" s="9"/>
      <c r="C924" s="9"/>
      <c r="D924" s="9"/>
      <c r="E924" s="16"/>
      <c r="F924" s="16"/>
      <c r="G924" s="32"/>
      <c r="H924" s="9"/>
      <c r="L924" s="9"/>
    </row>
    <row r="925" spans="2:12" ht="13" x14ac:dyDescent="0.3">
      <c r="B925" s="9"/>
      <c r="C925" s="9"/>
      <c r="D925" s="9"/>
      <c r="E925" s="16"/>
      <c r="F925" s="16"/>
      <c r="G925" s="32"/>
      <c r="H925" s="9"/>
      <c r="L925" s="9"/>
    </row>
    <row r="926" spans="2:12" ht="13" x14ac:dyDescent="0.3">
      <c r="B926" s="9"/>
      <c r="C926" s="9"/>
      <c r="D926" s="9"/>
      <c r="E926" s="16"/>
      <c r="F926" s="16"/>
      <c r="G926" s="32"/>
      <c r="H926" s="9"/>
      <c r="L926" s="9"/>
    </row>
    <row r="927" spans="2:12" ht="13" x14ac:dyDescent="0.3">
      <c r="B927" s="9"/>
      <c r="C927" s="9"/>
      <c r="D927" s="9"/>
      <c r="E927" s="16"/>
      <c r="F927" s="16"/>
      <c r="G927" s="32"/>
      <c r="H927" s="9"/>
      <c r="L927" s="9"/>
    </row>
    <row r="928" spans="2:12" ht="13" x14ac:dyDescent="0.3">
      <c r="B928" s="9"/>
      <c r="C928" s="9"/>
      <c r="D928" s="9"/>
      <c r="E928" s="16"/>
      <c r="F928" s="16"/>
      <c r="G928" s="32"/>
      <c r="H928" s="9"/>
      <c r="L928" s="9"/>
    </row>
    <row r="929" spans="2:12" ht="13" x14ac:dyDescent="0.3">
      <c r="B929" s="9"/>
      <c r="C929" s="9"/>
      <c r="D929" s="9"/>
      <c r="E929" s="16"/>
      <c r="F929" s="16"/>
      <c r="G929" s="32"/>
      <c r="H929" s="9"/>
      <c r="L929" s="9"/>
    </row>
    <row r="930" spans="2:12" ht="13" x14ac:dyDescent="0.3">
      <c r="B930" s="9"/>
      <c r="C930" s="9"/>
      <c r="D930" s="9"/>
      <c r="E930" s="16"/>
      <c r="F930" s="16"/>
      <c r="G930" s="32"/>
      <c r="H930" s="9"/>
      <c r="L930" s="9"/>
    </row>
    <row r="931" spans="2:12" ht="13" x14ac:dyDescent="0.3">
      <c r="B931" s="9"/>
      <c r="C931" s="9"/>
      <c r="D931" s="9"/>
      <c r="E931" s="16"/>
      <c r="F931" s="16"/>
      <c r="G931" s="32"/>
      <c r="H931" s="9"/>
      <c r="L931" s="9"/>
    </row>
    <row r="932" spans="2:12" ht="13" x14ac:dyDescent="0.3">
      <c r="B932" s="9"/>
      <c r="C932" s="9"/>
      <c r="D932" s="9"/>
      <c r="E932" s="16"/>
      <c r="F932" s="16"/>
      <c r="G932" s="32"/>
      <c r="H932" s="9"/>
      <c r="L932" s="9"/>
    </row>
    <row r="933" spans="2:12" ht="13" x14ac:dyDescent="0.3">
      <c r="B933" s="9"/>
      <c r="C933" s="9"/>
      <c r="D933" s="9"/>
      <c r="E933" s="16"/>
      <c r="F933" s="16"/>
      <c r="G933" s="32"/>
      <c r="H933" s="9"/>
      <c r="L933" s="9"/>
    </row>
    <row r="934" spans="2:12" ht="13" x14ac:dyDescent="0.3">
      <c r="B934" s="9"/>
      <c r="C934" s="9"/>
      <c r="D934" s="9"/>
      <c r="E934" s="16"/>
      <c r="F934" s="16"/>
      <c r="G934" s="32"/>
      <c r="H934" s="9"/>
      <c r="L934" s="9"/>
    </row>
    <row r="935" spans="2:12" ht="13" x14ac:dyDescent="0.3">
      <c r="B935" s="9"/>
      <c r="C935" s="9"/>
      <c r="D935" s="9"/>
      <c r="E935" s="16"/>
      <c r="F935" s="16"/>
      <c r="G935" s="32"/>
      <c r="H935" s="9"/>
      <c r="L935" s="9"/>
    </row>
    <row r="936" spans="2:12" ht="13" x14ac:dyDescent="0.3">
      <c r="B936" s="9"/>
      <c r="C936" s="9"/>
      <c r="D936" s="9"/>
      <c r="E936" s="16"/>
      <c r="F936" s="16"/>
      <c r="G936" s="32"/>
      <c r="H936" s="9"/>
      <c r="L936" s="9"/>
    </row>
    <row r="937" spans="2:12" ht="13" x14ac:dyDescent="0.3">
      <c r="B937" s="9"/>
      <c r="C937" s="9"/>
      <c r="D937" s="9"/>
      <c r="E937" s="16"/>
      <c r="F937" s="16"/>
      <c r="G937" s="32"/>
      <c r="H937" s="9"/>
      <c r="L937" s="9"/>
    </row>
    <row r="938" spans="2:12" ht="13" x14ac:dyDescent="0.3">
      <c r="B938" s="9"/>
      <c r="C938" s="9"/>
      <c r="D938" s="9"/>
      <c r="E938" s="16"/>
      <c r="F938" s="16"/>
      <c r="G938" s="32"/>
      <c r="H938" s="9"/>
      <c r="L938" s="9"/>
    </row>
    <row r="939" spans="2:12" ht="13" x14ac:dyDescent="0.3">
      <c r="B939" s="9"/>
      <c r="C939" s="9"/>
      <c r="D939" s="9"/>
      <c r="E939" s="16"/>
      <c r="F939" s="16"/>
      <c r="G939" s="32"/>
      <c r="H939" s="9"/>
      <c r="L939" s="9"/>
    </row>
    <row r="940" spans="2:12" ht="13" x14ac:dyDescent="0.3">
      <c r="B940" s="9"/>
      <c r="C940" s="9"/>
      <c r="D940" s="9"/>
      <c r="E940" s="16"/>
      <c r="F940" s="16"/>
      <c r="G940" s="32"/>
      <c r="H940" s="9"/>
      <c r="L940" s="9"/>
    </row>
    <row r="941" spans="2:12" ht="13" x14ac:dyDescent="0.3">
      <c r="B941" s="9"/>
      <c r="C941" s="9"/>
      <c r="D941" s="9"/>
      <c r="E941" s="16"/>
      <c r="F941" s="16"/>
      <c r="G941" s="32"/>
      <c r="H941" s="9"/>
      <c r="L941" s="9"/>
    </row>
    <row r="942" spans="2:12" ht="13" x14ac:dyDescent="0.3">
      <c r="B942" s="9"/>
      <c r="C942" s="9"/>
      <c r="D942" s="9"/>
      <c r="E942" s="16"/>
      <c r="F942" s="16"/>
      <c r="G942" s="32"/>
      <c r="H942" s="9"/>
      <c r="L942" s="9"/>
    </row>
    <row r="943" spans="2:12" ht="13" x14ac:dyDescent="0.3">
      <c r="B943" s="9"/>
      <c r="C943" s="9"/>
      <c r="D943" s="9"/>
      <c r="E943" s="16"/>
      <c r="F943" s="16"/>
      <c r="G943" s="32"/>
      <c r="H943" s="9"/>
      <c r="L943" s="9"/>
    </row>
    <row r="944" spans="2:12" ht="13" x14ac:dyDescent="0.3">
      <c r="B944" s="9"/>
      <c r="C944" s="9"/>
      <c r="D944" s="9"/>
      <c r="E944" s="16"/>
      <c r="F944" s="16"/>
      <c r="G944" s="32"/>
      <c r="H944" s="9"/>
      <c r="L944" s="9"/>
    </row>
    <row r="945" spans="2:12" ht="13" x14ac:dyDescent="0.3">
      <c r="B945" s="9"/>
      <c r="C945" s="9"/>
      <c r="D945" s="9"/>
      <c r="E945" s="16"/>
      <c r="F945" s="16"/>
      <c r="G945" s="32"/>
      <c r="H945" s="9"/>
      <c r="L945" s="9"/>
    </row>
    <row r="946" spans="2:12" ht="13" x14ac:dyDescent="0.3">
      <c r="B946" s="9"/>
      <c r="C946" s="9"/>
      <c r="D946" s="9"/>
      <c r="E946" s="16"/>
      <c r="F946" s="16"/>
      <c r="G946" s="32"/>
      <c r="H946" s="9"/>
      <c r="L946" s="9"/>
    </row>
    <row r="947" spans="2:12" ht="13" x14ac:dyDescent="0.3">
      <c r="B947" s="9"/>
      <c r="C947" s="9"/>
      <c r="D947" s="9"/>
      <c r="E947" s="16"/>
      <c r="F947" s="16"/>
      <c r="G947" s="32"/>
      <c r="H947" s="9"/>
      <c r="L947" s="9"/>
    </row>
    <row r="948" spans="2:12" ht="13" x14ac:dyDescent="0.3">
      <c r="B948" s="9"/>
      <c r="C948" s="9"/>
      <c r="D948" s="9"/>
      <c r="E948" s="16"/>
      <c r="F948" s="16"/>
      <c r="G948" s="32"/>
      <c r="H948" s="9"/>
      <c r="L948" s="9"/>
    </row>
    <row r="949" spans="2:12" ht="13" x14ac:dyDescent="0.3">
      <c r="B949" s="9"/>
      <c r="C949" s="9"/>
      <c r="D949" s="9"/>
      <c r="E949" s="16"/>
      <c r="F949" s="16"/>
      <c r="G949" s="32"/>
      <c r="H949" s="9"/>
      <c r="L949" s="9"/>
    </row>
    <row r="950" spans="2:12" ht="13" x14ac:dyDescent="0.3">
      <c r="B950" s="9"/>
      <c r="C950" s="9"/>
      <c r="D950" s="9"/>
      <c r="E950" s="16"/>
      <c r="F950" s="16"/>
      <c r="G950" s="32"/>
      <c r="H950" s="9"/>
      <c r="L950" s="9"/>
    </row>
    <row r="951" spans="2:12" ht="13" x14ac:dyDescent="0.3">
      <c r="B951" s="9"/>
      <c r="C951" s="9"/>
      <c r="D951" s="9"/>
      <c r="E951" s="16"/>
      <c r="F951" s="16"/>
      <c r="G951" s="32"/>
      <c r="H951" s="9"/>
      <c r="L951" s="9"/>
    </row>
    <row r="952" spans="2:12" ht="13" x14ac:dyDescent="0.3">
      <c r="B952" s="9"/>
      <c r="C952" s="9"/>
      <c r="D952" s="9"/>
      <c r="E952" s="16"/>
      <c r="F952" s="16"/>
      <c r="G952" s="32"/>
      <c r="H952" s="9"/>
      <c r="L952" s="9"/>
    </row>
    <row r="953" spans="2:12" ht="13" x14ac:dyDescent="0.3">
      <c r="B953" s="9"/>
      <c r="C953" s="9"/>
      <c r="D953" s="9"/>
      <c r="E953" s="16"/>
      <c r="F953" s="16"/>
      <c r="G953" s="32"/>
      <c r="H953" s="9"/>
      <c r="L953" s="9"/>
    </row>
    <row r="954" spans="2:12" ht="13" x14ac:dyDescent="0.3">
      <c r="B954" s="9"/>
      <c r="C954" s="9"/>
      <c r="D954" s="9"/>
      <c r="E954" s="16"/>
      <c r="F954" s="16"/>
      <c r="G954" s="32"/>
      <c r="H954" s="9"/>
      <c r="L954" s="9"/>
    </row>
    <row r="955" spans="2:12" ht="13" x14ac:dyDescent="0.3">
      <c r="B955" s="9"/>
      <c r="C955" s="9"/>
      <c r="D955" s="9"/>
      <c r="E955" s="16"/>
      <c r="F955" s="16"/>
      <c r="G955" s="32"/>
      <c r="H955" s="9"/>
      <c r="L955" s="9"/>
    </row>
    <row r="956" spans="2:12" ht="13" x14ac:dyDescent="0.3">
      <c r="B956" s="9"/>
      <c r="C956" s="9"/>
      <c r="D956" s="9"/>
      <c r="E956" s="16"/>
      <c r="F956" s="16"/>
      <c r="G956" s="32"/>
      <c r="H956" s="9"/>
      <c r="L956" s="9"/>
    </row>
    <row r="957" spans="2:12" ht="13" x14ac:dyDescent="0.3">
      <c r="B957" s="9"/>
      <c r="C957" s="9"/>
      <c r="D957" s="9"/>
      <c r="E957" s="16"/>
      <c r="F957" s="16"/>
      <c r="G957" s="32"/>
      <c r="H957" s="9"/>
      <c r="L957" s="9"/>
    </row>
    <row r="958" spans="2:12" ht="13" x14ac:dyDescent="0.3">
      <c r="B958" s="9"/>
      <c r="C958" s="9"/>
      <c r="D958" s="9"/>
      <c r="E958" s="16"/>
      <c r="F958" s="16"/>
      <c r="G958" s="32"/>
      <c r="H958" s="9"/>
      <c r="L958" s="9"/>
    </row>
    <row r="959" spans="2:12" ht="13" x14ac:dyDescent="0.3">
      <c r="B959" s="9"/>
      <c r="C959" s="9"/>
      <c r="D959" s="9"/>
      <c r="E959" s="16"/>
      <c r="F959" s="16"/>
      <c r="G959" s="32"/>
      <c r="H959" s="9"/>
      <c r="L959" s="9"/>
    </row>
    <row r="960" spans="2:12" ht="13" x14ac:dyDescent="0.3">
      <c r="B960" s="9"/>
      <c r="C960" s="9"/>
      <c r="D960" s="9"/>
      <c r="E960" s="16"/>
      <c r="F960" s="16"/>
      <c r="G960" s="32"/>
      <c r="H960" s="9"/>
      <c r="L960" s="9"/>
    </row>
    <row r="961" spans="2:12" ht="13" x14ac:dyDescent="0.3">
      <c r="B961" s="9"/>
      <c r="C961" s="9"/>
      <c r="D961" s="9"/>
      <c r="E961" s="16"/>
      <c r="F961" s="16"/>
      <c r="G961" s="32"/>
      <c r="H961" s="9"/>
      <c r="L961" s="9"/>
    </row>
    <row r="962" spans="2:12" ht="13" x14ac:dyDescent="0.3">
      <c r="B962" s="9"/>
      <c r="C962" s="9"/>
      <c r="D962" s="9"/>
      <c r="E962" s="16"/>
      <c r="F962" s="16"/>
      <c r="G962" s="32"/>
      <c r="H962" s="9"/>
      <c r="L962" s="9"/>
    </row>
    <row r="963" spans="2:12" ht="13" x14ac:dyDescent="0.3">
      <c r="B963" s="9"/>
      <c r="C963" s="9"/>
      <c r="D963" s="9"/>
      <c r="E963" s="16"/>
      <c r="F963" s="16"/>
      <c r="G963" s="32"/>
      <c r="H963" s="9"/>
      <c r="L963" s="9"/>
    </row>
    <row r="964" spans="2:12" ht="13" x14ac:dyDescent="0.3">
      <c r="B964" s="9"/>
      <c r="C964" s="9"/>
      <c r="D964" s="9"/>
      <c r="E964" s="16"/>
      <c r="F964" s="16"/>
      <c r="G964" s="32"/>
      <c r="H964" s="9"/>
      <c r="L964" s="9"/>
    </row>
    <row r="965" spans="2:12" ht="13" x14ac:dyDescent="0.3">
      <c r="B965" s="9"/>
      <c r="C965" s="9"/>
      <c r="D965" s="9"/>
      <c r="E965" s="16"/>
      <c r="F965" s="16"/>
      <c r="G965" s="32"/>
      <c r="H965" s="9"/>
      <c r="L965" s="9"/>
    </row>
    <row r="966" spans="2:12" ht="13" x14ac:dyDescent="0.3">
      <c r="B966" s="9"/>
      <c r="C966" s="9"/>
      <c r="D966" s="9"/>
      <c r="E966" s="16"/>
      <c r="F966" s="16"/>
      <c r="G966" s="32"/>
      <c r="H966" s="9"/>
      <c r="L966" s="9"/>
    </row>
    <row r="967" spans="2:12" ht="13" x14ac:dyDescent="0.3">
      <c r="B967" s="9"/>
      <c r="C967" s="9"/>
      <c r="D967" s="9"/>
      <c r="E967" s="16"/>
      <c r="F967" s="16"/>
      <c r="G967" s="32"/>
      <c r="H967" s="9"/>
      <c r="L967" s="9"/>
    </row>
    <row r="968" spans="2:12" ht="13" x14ac:dyDescent="0.3">
      <c r="B968" s="9"/>
      <c r="C968" s="9"/>
      <c r="D968" s="9"/>
      <c r="E968" s="16"/>
      <c r="F968" s="16"/>
      <c r="G968" s="32"/>
      <c r="H968" s="9"/>
      <c r="L968" s="9"/>
    </row>
    <row r="969" spans="2:12" ht="13" x14ac:dyDescent="0.3">
      <c r="B969" s="9"/>
      <c r="C969" s="9"/>
      <c r="D969" s="9"/>
      <c r="E969" s="16"/>
      <c r="F969" s="16"/>
      <c r="G969" s="32"/>
      <c r="H969" s="9"/>
      <c r="L969" s="9"/>
    </row>
    <row r="970" spans="2:12" ht="13" x14ac:dyDescent="0.3">
      <c r="B970" s="9"/>
      <c r="C970" s="9"/>
      <c r="D970" s="9"/>
      <c r="E970" s="16"/>
      <c r="F970" s="16"/>
      <c r="G970" s="32"/>
      <c r="H970" s="9"/>
      <c r="L970" s="9"/>
    </row>
    <row r="971" spans="2:12" ht="13" x14ac:dyDescent="0.3">
      <c r="B971" s="9"/>
      <c r="C971" s="9"/>
      <c r="D971" s="9"/>
      <c r="E971" s="16"/>
      <c r="F971" s="16"/>
      <c r="G971" s="32"/>
      <c r="H971" s="9"/>
      <c r="L971" s="9"/>
    </row>
    <row r="972" spans="2:12" ht="13" x14ac:dyDescent="0.3">
      <c r="B972" s="9"/>
      <c r="C972" s="9"/>
      <c r="D972" s="9"/>
      <c r="E972" s="16"/>
      <c r="F972" s="16"/>
      <c r="G972" s="32"/>
      <c r="H972" s="9"/>
      <c r="L972" s="9"/>
    </row>
    <row r="973" spans="2:12" ht="13" x14ac:dyDescent="0.3">
      <c r="B973" s="9"/>
      <c r="C973" s="9"/>
      <c r="D973" s="9"/>
      <c r="E973" s="16"/>
      <c r="F973" s="16"/>
      <c r="G973" s="32"/>
      <c r="H973" s="9"/>
      <c r="L973" s="9"/>
    </row>
    <row r="974" spans="2:12" ht="13" x14ac:dyDescent="0.3">
      <c r="B974" s="9"/>
      <c r="C974" s="9"/>
      <c r="D974" s="9"/>
      <c r="E974" s="16"/>
      <c r="F974" s="16"/>
      <c r="G974" s="32"/>
      <c r="H974" s="9"/>
      <c r="L974" s="9"/>
    </row>
    <row r="975" spans="2:12" ht="13" x14ac:dyDescent="0.3">
      <c r="B975" s="9"/>
      <c r="C975" s="9"/>
      <c r="D975" s="9"/>
      <c r="E975" s="16"/>
      <c r="F975" s="16"/>
      <c r="G975" s="32"/>
      <c r="H975" s="9"/>
      <c r="L975" s="9"/>
    </row>
    <row r="976" spans="2:12" ht="13" x14ac:dyDescent="0.3">
      <c r="B976" s="9"/>
      <c r="C976" s="9"/>
      <c r="D976" s="9"/>
      <c r="E976" s="16"/>
      <c r="F976" s="16"/>
      <c r="G976" s="32"/>
      <c r="H976" s="9"/>
      <c r="L976" s="9"/>
    </row>
    <row r="977" spans="2:12" ht="13" x14ac:dyDescent="0.3">
      <c r="B977" s="9"/>
      <c r="C977" s="9"/>
      <c r="D977" s="9"/>
      <c r="E977" s="16"/>
      <c r="F977" s="16"/>
      <c r="G977" s="32"/>
      <c r="H977" s="9"/>
      <c r="L977" s="9"/>
    </row>
    <row r="978" spans="2:12" ht="13" x14ac:dyDescent="0.3">
      <c r="B978" s="9"/>
      <c r="C978" s="9"/>
      <c r="D978" s="9"/>
      <c r="E978" s="16"/>
      <c r="F978" s="16"/>
      <c r="G978" s="32"/>
      <c r="H978" s="9"/>
      <c r="L978" s="9"/>
    </row>
    <row r="979" spans="2:12" ht="13" x14ac:dyDescent="0.3">
      <c r="B979" s="9"/>
      <c r="C979" s="9"/>
      <c r="D979" s="9"/>
      <c r="E979" s="16"/>
      <c r="F979" s="16"/>
      <c r="G979" s="32"/>
      <c r="H979" s="9"/>
      <c r="L979" s="9"/>
    </row>
    <row r="980" spans="2:12" ht="13" x14ac:dyDescent="0.3">
      <c r="B980" s="9"/>
      <c r="C980" s="9"/>
      <c r="D980" s="9"/>
      <c r="E980" s="16"/>
      <c r="F980" s="16"/>
      <c r="G980" s="32"/>
      <c r="H980" s="9"/>
      <c r="L980" s="9"/>
    </row>
    <row r="981" spans="2:12" ht="13" x14ac:dyDescent="0.3">
      <c r="B981" s="9"/>
      <c r="C981" s="9"/>
      <c r="D981" s="9"/>
      <c r="E981" s="16"/>
      <c r="F981" s="16"/>
      <c r="G981" s="32"/>
      <c r="H981" s="9"/>
      <c r="L981" s="9"/>
    </row>
    <row r="982" spans="2:12" ht="13" x14ac:dyDescent="0.3">
      <c r="B982" s="9"/>
      <c r="C982" s="9"/>
      <c r="D982" s="9"/>
      <c r="E982" s="16"/>
      <c r="F982" s="16"/>
      <c r="G982" s="32"/>
      <c r="H982" s="9"/>
      <c r="L982" s="9"/>
    </row>
    <row r="983" spans="2:12" ht="13" x14ac:dyDescent="0.3">
      <c r="B983" s="9"/>
      <c r="C983" s="9"/>
      <c r="D983" s="9"/>
      <c r="E983" s="16"/>
      <c r="F983" s="16"/>
      <c r="G983" s="32"/>
      <c r="H983" s="9"/>
      <c r="L983" s="9"/>
    </row>
    <row r="984" spans="2:12" ht="13" x14ac:dyDescent="0.3">
      <c r="B984" s="9"/>
      <c r="C984" s="9"/>
      <c r="D984" s="9"/>
      <c r="E984" s="16"/>
      <c r="F984" s="16"/>
      <c r="G984" s="32"/>
      <c r="H984" s="9"/>
      <c r="L984" s="9"/>
    </row>
    <row r="985" spans="2:12" ht="13" x14ac:dyDescent="0.3">
      <c r="B985" s="9"/>
      <c r="C985" s="9"/>
      <c r="D985" s="9"/>
      <c r="E985" s="16"/>
      <c r="F985" s="16"/>
      <c r="G985" s="32"/>
      <c r="H985" s="9"/>
      <c r="L985" s="9"/>
    </row>
    <row r="986" spans="2:12" ht="13" x14ac:dyDescent="0.3">
      <c r="B986" s="9"/>
      <c r="C986" s="9"/>
      <c r="D986" s="9"/>
      <c r="E986" s="16"/>
      <c r="F986" s="16"/>
      <c r="G986" s="32"/>
      <c r="H986" s="9"/>
      <c r="L986" s="9"/>
    </row>
    <row r="987" spans="2:12" ht="13" x14ac:dyDescent="0.3">
      <c r="B987" s="9"/>
      <c r="C987" s="9"/>
      <c r="D987" s="9"/>
      <c r="E987" s="16"/>
      <c r="F987" s="16"/>
      <c r="G987" s="32"/>
      <c r="H987" s="9"/>
      <c r="L987" s="9"/>
    </row>
    <row r="988" spans="2:12" ht="13" x14ac:dyDescent="0.3">
      <c r="B988" s="9"/>
      <c r="C988" s="9"/>
      <c r="D988" s="9"/>
      <c r="E988" s="16"/>
      <c r="F988" s="16"/>
      <c r="G988" s="32"/>
      <c r="H988" s="9"/>
      <c r="L988" s="9"/>
    </row>
    <row r="989" spans="2:12" ht="13" x14ac:dyDescent="0.3">
      <c r="B989" s="9"/>
      <c r="C989" s="9"/>
      <c r="D989" s="9"/>
      <c r="E989" s="16"/>
      <c r="F989" s="16"/>
      <c r="G989" s="32"/>
      <c r="H989" s="9"/>
      <c r="L989" s="9"/>
    </row>
    <row r="990" spans="2:12" ht="13" x14ac:dyDescent="0.3">
      <c r="B990" s="9"/>
      <c r="C990" s="9"/>
      <c r="D990" s="9"/>
      <c r="E990" s="16"/>
      <c r="F990" s="16"/>
      <c r="G990" s="32"/>
      <c r="H990" s="9"/>
      <c r="L990" s="9"/>
    </row>
    <row r="991" spans="2:12" ht="13" x14ac:dyDescent="0.3">
      <c r="B991" s="9"/>
      <c r="C991" s="9"/>
      <c r="D991" s="9"/>
      <c r="E991" s="16"/>
      <c r="F991" s="16"/>
      <c r="G991" s="32"/>
      <c r="H991" s="9"/>
      <c r="L991" s="9"/>
    </row>
    <row r="992" spans="2:12" ht="13" x14ac:dyDescent="0.3">
      <c r="B992" s="9"/>
      <c r="C992" s="9"/>
      <c r="D992" s="9"/>
      <c r="E992" s="16"/>
      <c r="F992" s="16"/>
      <c r="G992" s="32"/>
      <c r="H992" s="9"/>
      <c r="L992" s="9"/>
    </row>
    <row r="993" spans="2:12" ht="13" x14ac:dyDescent="0.3">
      <c r="B993" s="9"/>
      <c r="C993" s="9"/>
      <c r="D993" s="9"/>
      <c r="E993" s="16"/>
      <c r="F993" s="16"/>
      <c r="G993" s="32"/>
      <c r="H993" s="9"/>
      <c r="L993" s="9"/>
    </row>
    <row r="994" spans="2:12" ht="13" x14ac:dyDescent="0.3">
      <c r="B994" s="9"/>
      <c r="C994" s="9"/>
      <c r="D994" s="9"/>
      <c r="E994" s="16"/>
      <c r="F994" s="16"/>
      <c r="G994" s="32"/>
      <c r="H994" s="9"/>
      <c r="L994" s="9"/>
    </row>
    <row r="995" spans="2:12" ht="13" x14ac:dyDescent="0.3">
      <c r="B995" s="9"/>
      <c r="C995" s="9"/>
      <c r="D995" s="9"/>
      <c r="E995" s="16"/>
      <c r="F995" s="16"/>
      <c r="G995" s="32"/>
      <c r="H995" s="9"/>
      <c r="L995" s="9"/>
    </row>
    <row r="996" spans="2:12" ht="13" x14ac:dyDescent="0.3">
      <c r="B996" s="9"/>
      <c r="C996" s="9"/>
      <c r="D996" s="9"/>
      <c r="E996" s="16"/>
      <c r="F996" s="16"/>
      <c r="G996" s="32"/>
      <c r="H996" s="9"/>
      <c r="L996" s="9"/>
    </row>
    <row r="997" spans="2:12" ht="13" x14ac:dyDescent="0.3">
      <c r="B997" s="9"/>
      <c r="C997" s="9"/>
      <c r="D997" s="9"/>
      <c r="E997" s="16"/>
      <c r="F997" s="16"/>
      <c r="G997" s="32"/>
      <c r="H997" s="9"/>
      <c r="L997" s="9"/>
    </row>
    <row r="998" spans="2:12" ht="13" x14ac:dyDescent="0.3">
      <c r="B998" s="9"/>
      <c r="C998" s="9"/>
      <c r="D998" s="9"/>
      <c r="E998" s="16"/>
      <c r="F998" s="16"/>
      <c r="G998" s="32"/>
      <c r="H998" s="9"/>
      <c r="L998" s="9"/>
    </row>
  </sheetData>
  <conditionalFormatting sqref="B1:B998">
    <cfRule type="expression" dxfId="2" priority="3">
      <formula>COUNTIF(B:B,B1)&gt;1</formula>
    </cfRule>
  </conditionalFormatting>
  <conditionalFormatting sqref="A1">
    <cfRule type="expression" dxfId="1" priority="2">
      <formula>COUNTIF(A:A,A1)&gt;1</formula>
    </cfRule>
  </conditionalFormatting>
  <conditionalFormatting sqref="A2:A552">
    <cfRule type="expression" dxfId="0" priority="1">
      <formula>COUNTIF(A:A,A2)&gt;1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Mentah</vt:lpstr>
      <vt:lpstr>Prodi (fix)</vt:lpstr>
      <vt:lpstr>Fakultas (fix)</vt:lpstr>
      <vt:lpstr>Mata Kuliah (fix)</vt:lpstr>
      <vt:lpstr>Jadwal Kuliah (fix)</vt:lpstr>
      <vt:lpstr>Ruangan (fix)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</dc:creator>
  <cp:lastModifiedBy>TARI</cp:lastModifiedBy>
  <dcterms:modified xsi:type="dcterms:W3CDTF">2023-03-26T03:14:26Z</dcterms:modified>
</cp:coreProperties>
</file>