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6.xml" ContentType="application/vnd.openxmlformats-officedocument.drawing+xml"/>
  <Override PartName="/xl/tables/table9.xml" ContentType="application/vnd.openxmlformats-officedocument.spreadsheetml.table+xml"/>
  <Override PartName="/xl/slicers/slicer1.xml" ContentType="application/vnd.ms-excel.slicer+xml"/>
  <Override PartName="/xl/drawings/drawing7.xml" ContentType="application/vnd.openxmlformats-officedocument.drawing+xml"/>
  <Override PartName="/xl/tables/table10.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kong\Downloads\project case cabinent\"/>
    </mc:Choice>
  </mc:AlternateContent>
  <xr:revisionPtr revIDLastSave="0" documentId="8_{D70858AB-FF29-1047-9A6B-F0B3F5BE0642}" xr6:coauthVersionLast="47" xr6:coauthVersionMax="47" xr10:uidLastSave="{00000000-0000-0000-0000-000000000000}"/>
  <bookViews>
    <workbookView showSheetTabs="0" xWindow="-120" yWindow="-120" windowWidth="20730" windowHeight="11040" xr2:uid="{F71A0D3E-F080-4D89-A987-C187D576BFF3}"/>
  </bookViews>
  <sheets>
    <sheet name="HOME PAGE" sheetId="4" r:id="rId1"/>
    <sheet name="COUNSEL DIRECTORY" sheetId="10" r:id="rId2"/>
    <sheet name="QUARTER REPORT" sheetId="11" r:id="rId3"/>
    <sheet name="Sheet2" sheetId="9" state="hidden" r:id="rId4"/>
    <sheet name="AUTO CAUSE LIST" sheetId="1" r:id="rId5"/>
    <sheet name="INSIGHTS" sheetId="2" r:id="rId6"/>
    <sheet name="BACK OFFICE" sheetId="7" state="hidden" r:id="rId7"/>
    <sheet name="Sheet1" sheetId="8" state="hidden" r:id="rId8"/>
    <sheet name="CASE REGISTER" sheetId="3" r:id="rId9"/>
    <sheet name="HEARING LOG" sheetId="6" r:id="rId10"/>
    <sheet name="LISTS" sheetId="5" r:id="rId11"/>
  </sheets>
  <definedNames>
    <definedName name="_xlnm._FilterDatabase" localSheetId="1" hidden="1">'COUNSEL DIRECTORY'!$A$15:$D$16</definedName>
    <definedName name="ACTIONS">LISTS!$AO$22:$AO$39</definedName>
    <definedName name="ACTIVE">LISTS!$AO$22:$AO$38</definedName>
    <definedName name="APPEAL">LISTS!$O$8:$O$9</definedName>
    <definedName name="ARBITRATION">LISTS!$K$8:$K$9</definedName>
    <definedName name="BAIL">LISTS!$M$20:$M$21</definedName>
    <definedName name="CASE_TYPE">LISTS!$C$8:$C$14</definedName>
    <definedName name="CASETYPE">LISTS!$C$8:$C$14</definedName>
    <definedName name="CIVIL">LISTS!#REF!</definedName>
    <definedName name="CIVIL_SUIT">LISTS!#REF!</definedName>
    <definedName name="CLAIMS">LISTS!$E$8:$E$17</definedName>
    <definedName name="CONCLUDED">LISTS!$AQ$22:$AQ$25</definedName>
    <definedName name="CONTRACT">LISTS!$E$20:$E$22</definedName>
    <definedName name="COURT">LISTS!$A$8:$A$15</definedName>
    <definedName name="CRIMINAL">LISTS!$G$8:$G$10</definedName>
    <definedName name="CRIMINAL_MATTER">LISTS!$G$8:$G$9</definedName>
    <definedName name="CURRENT_CASE_AGE">LISTS!$E$53:$E$55</definedName>
    <definedName name="DIVISIONS">LISTS!$E$59:$E$71</definedName>
    <definedName name="FELONY">LISTS!$AE$29:$AE$53</definedName>
    <definedName name="FHR">LISTS!$I$8:$I$10</definedName>
    <definedName name="INSIGHTS">LISTS!$A$38:$A$43</definedName>
    <definedName name="INTERPRETATION">LISTS!$AC$15:$AC$17</definedName>
    <definedName name="JUDGES2">LISTS!$C$47:$C$93</definedName>
    <definedName name="JUDGMENTS">LISTS!$C$38:$C$39</definedName>
    <definedName name="LAND">LISTS!$C$20:$C$23</definedName>
    <definedName name="LEAVE">LISTS!$AC$44</definedName>
    <definedName name="MAGISTRATE_COURT">LISTS!$O$12:$O$13</definedName>
    <definedName name="MATRIMONIAL">LISTS!$I$20:$I$23</definedName>
    <definedName name="MISDEMEANOR">LISTS!$AC$29:$AC$38</definedName>
    <definedName name="MOTION">LISTS!$M$8:$M$9</definedName>
    <definedName name="NATURE">LISTS!$C$27:$C$35</definedName>
    <definedName name="NATURE_OF_CASE">LISTS!$C$8:$C$13</definedName>
    <definedName name="ORIGINATING_SUMMONS">LISTS!$AC$8:$AC$9</definedName>
    <definedName name="OTHERS">LISTS!$Q$8:$Q$10</definedName>
    <definedName name="OUTCOME">LISTS!$AA$18:$AA$38</definedName>
    <definedName name="PETITION">LISTS!$K$8</definedName>
    <definedName name="PORT_HARCOURT">LISTS!$E$60:$E$71</definedName>
    <definedName name="POSSESSION">LISTS!$AC$12</definedName>
    <definedName name="_xlnm.Print_Area" localSheetId="4">'AUTO CAUSE LIST'!$C$2:$K$45</definedName>
    <definedName name="_xlnm.Print_Area" localSheetId="5">INSIGHTS!$B$13:$AA$130</definedName>
    <definedName name="_xlnm.Print_Area" localSheetId="2">'QUARTER REPORT'!$C$14:$P$139</definedName>
    <definedName name="_xlnm.Print_Titles" localSheetId="5">INSIGHTS!$14:$14</definedName>
    <definedName name="PURPOSE">LISTS!$G$29:$G$44</definedName>
    <definedName name="QUARTER">LISTS!$E$47:$E$50</definedName>
    <definedName name="QUARTERLIES">LISTS!$C$38:$C$41</definedName>
    <definedName name="REASON">LISTS!$AA$18:$AA$38</definedName>
    <definedName name="RULING">LISTS!$W$27:$W$28</definedName>
    <definedName name="Slicer_CASE_TYPE">#N/A</definedName>
    <definedName name="Slicer_CURRENT_AGE_OF_CASE">#N/A</definedName>
    <definedName name="Slicer_PARTICULARS">#N/A</definedName>
    <definedName name="Slicer_STATUS">#N/A</definedName>
    <definedName name="Slicer_SUIT_NUMBER">#N/A</definedName>
    <definedName name="Slicer_SUIT_NUMBER1">#N/A</definedName>
    <definedName name="STATUS">LISTS!$AO$15:$AO$17</definedName>
    <definedName name="TORT">LISTS!$G$20:$G$26</definedName>
    <definedName name="UNDEFENDED_LIST">LISTS!$Z$8</definedName>
    <definedName name="WRIT">LISTS!$E$8:$E$12</definedName>
    <definedName name="YEAR">LISTS!$E$47:$E$67</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6" l="1" a="1"/>
  <c r="D19" i="6" a="1"/>
  <c r="E19" i="6" a="1"/>
  <c r="F19" i="6" a="1"/>
  <c r="G19" i="6" a="1"/>
  <c r="H19" i="6" a="1"/>
  <c r="B18" i="6" a="1"/>
  <c r="D18" i="6" a="1"/>
  <c r="E18" i="6" a="1"/>
  <c r="F18" i="6" a="1"/>
  <c r="G18" i="6" a="1"/>
  <c r="H18" i="6" a="1"/>
  <c r="H17" i="6" a="1"/>
  <c r="G17" i="6" a="1"/>
  <c r="F17" i="6" a="1"/>
  <c r="E17" i="6" a="1"/>
  <c r="D17" i="6" a="1"/>
  <c r="B17" i="6" a="1"/>
  <c r="B16" i="6" a="1"/>
  <c r="D16" i="6" a="1"/>
  <c r="E16" i="6" a="1"/>
  <c r="F16" i="6" a="1"/>
  <c r="G16" i="6" a="1"/>
  <c r="H16" i="6" a="1"/>
  <c r="E13" i="6"/>
  <c r="D13" i="6"/>
  <c r="H13" i="6"/>
  <c r="G13" i="6"/>
  <c r="F13" i="6"/>
  <c r="E15" i="6" a="1"/>
  <c r="B14" i="6" a="1"/>
  <c r="B15" i="6" a="1"/>
  <c r="H15" i="6" a="1"/>
  <c r="G15" i="6" a="1"/>
  <c r="F15" i="6" a="1"/>
  <c r="D14" i="6" a="1"/>
  <c r="D15" i="6" a="1"/>
  <c r="H14" i="6" a="1"/>
  <c r="G14" i="6" a="1"/>
  <c r="F14" i="6" a="1"/>
  <c r="E14" i="6" a="1"/>
  <c r="Q3" i="6" a="1"/>
  <c r="C15" i="3" a="1"/>
  <c r="T15" i="3"/>
  <c r="U15" i="3"/>
  <c r="W15" i="3"/>
  <c r="X15" i="3"/>
  <c r="G35" i="11"/>
  <c r="G1" i="3"/>
  <c r="F1" i="3"/>
  <c r="G96" i="11"/>
  <c r="G38" i="11"/>
  <c r="F1" i="6"/>
  <c r="B1" i="11"/>
  <c r="H4" i="1"/>
  <c r="H1" i="1"/>
  <c r="B1" i="2"/>
  <c r="H1" i="6"/>
  <c r="I1" i="3"/>
  <c r="G1" i="2"/>
  <c r="G1" i="10"/>
  <c r="J1" i="4"/>
  <c r="D1" i="3"/>
  <c r="G1" i="11"/>
  <c r="F1" i="11"/>
  <c r="E1" i="11"/>
  <c r="D1" i="11"/>
  <c r="C1" i="11"/>
  <c r="G93" i="11"/>
  <c r="G92" i="11"/>
  <c r="G90" i="11"/>
  <c r="G51" i="11" a="1"/>
  <c r="G46" i="11" a="1"/>
  <c r="G45" i="11" a="1"/>
  <c r="G44" i="11" a="1"/>
  <c r="G42" i="11" a="1"/>
  <c r="B16" i="10" a="1"/>
  <c r="G22" i="2"/>
  <c r="G40" i="2"/>
  <c r="G58" i="2"/>
  <c r="G80" i="2"/>
  <c r="S24" i="2"/>
  <c r="S25" i="2"/>
  <c r="S26" i="2"/>
  <c r="S27" i="2"/>
  <c r="S28" i="2"/>
  <c r="C15" i="10"/>
  <c r="H1" i="3"/>
  <c r="G1" i="6"/>
  <c r="G1" i="1"/>
  <c r="F1" i="2"/>
  <c r="B1" i="10"/>
  <c r="F1" i="10"/>
  <c r="E1" i="10"/>
  <c r="D1" i="10"/>
  <c r="C1" i="10"/>
  <c r="I1" i="4"/>
  <c r="B15" i="10"/>
  <c r="A99" i="5"/>
  <c r="D15" i="10"/>
  <c r="F81" i="2" a="1"/>
  <c r="D82" i="2" a="1"/>
  <c r="E82" i="2" a="1"/>
  <c r="F82" i="2" a="1"/>
  <c r="D83" i="2" a="1"/>
  <c r="E83" i="2" a="1"/>
  <c r="F83" i="2" a="1"/>
  <c r="D84" i="2" a="1"/>
  <c r="E84" i="2" a="1"/>
  <c r="F84" i="2" a="1"/>
  <c r="D85" i="2" a="1"/>
  <c r="E85" i="2" a="1"/>
  <c r="F85" i="2" a="1"/>
  <c r="E81" i="2" a="1"/>
  <c r="E81" i="2"/>
  <c r="E82" i="2"/>
  <c r="E83" i="2"/>
  <c r="E84" i="2"/>
  <c r="E85" i="2"/>
  <c r="E86" i="2"/>
  <c r="D81" i="2" a="1"/>
  <c r="C82" i="2" a="1"/>
  <c r="C83" i="2" a="1"/>
  <c r="C83" i="2"/>
  <c r="D83" i="2"/>
  <c r="F83" i="2"/>
  <c r="G83" i="2"/>
  <c r="C84" i="2" a="1"/>
  <c r="C85" i="2" a="1"/>
  <c r="C85" i="2"/>
  <c r="D85" i="2"/>
  <c r="F85" i="2"/>
  <c r="G85" i="2"/>
  <c r="C81" i="2" a="1"/>
  <c r="C81" i="2"/>
  <c r="D81" i="2"/>
  <c r="F81" i="2"/>
  <c r="G81" i="2"/>
  <c r="U14" i="3"/>
  <c r="E1" i="3"/>
  <c r="E1" i="2"/>
  <c r="D1" i="2"/>
  <c r="C1" i="2"/>
  <c r="C1" i="1"/>
  <c r="D1" i="1"/>
  <c r="E1" i="1"/>
  <c r="F1" i="1"/>
  <c r="H1" i="4"/>
  <c r="G1" i="4"/>
  <c r="E1" i="4"/>
  <c r="A98" i="5"/>
  <c r="A97" i="5"/>
  <c r="A96" i="5"/>
  <c r="D1" i="4"/>
  <c r="A95" i="5"/>
  <c r="A94" i="5"/>
  <c r="A93" i="5"/>
  <c r="A92" i="5"/>
  <c r="E1" i="6"/>
  <c r="C1" i="6"/>
  <c r="D1" i="6"/>
  <c r="A91" i="5"/>
  <c r="A90" i="5"/>
  <c r="A89" i="5"/>
  <c r="T14" i="3"/>
  <c r="G52" i="11"/>
  <c r="B16" i="2"/>
  <c r="O25" i="7" a="1"/>
  <c r="R25" i="7" a="1"/>
  <c r="Q25" i="7" a="1"/>
  <c r="P25" i="7" a="1"/>
  <c r="O7" i="7"/>
  <c r="D42" i="2" a="1"/>
  <c r="E42" i="2" a="1"/>
  <c r="F42" i="2" a="1"/>
  <c r="D43" i="2" a="1"/>
  <c r="E43" i="2" a="1"/>
  <c r="F43" i="2" a="1"/>
  <c r="D44" i="2" a="1"/>
  <c r="E44" i="2" a="1"/>
  <c r="F44" i="2" a="1"/>
  <c r="D45" i="2" a="1"/>
  <c r="E45" i="2" a="1"/>
  <c r="F45" i="2" a="1"/>
  <c r="D46" i="2" a="1"/>
  <c r="E46" i="2" a="1"/>
  <c r="F46" i="2" a="1"/>
  <c r="D47" i="2" a="1"/>
  <c r="E47" i="2" a="1"/>
  <c r="F47" i="2" a="1"/>
  <c r="F41" i="2" a="1"/>
  <c r="E41" i="2" a="1"/>
  <c r="D41" i="2" a="1"/>
  <c r="C42" i="2" a="1"/>
  <c r="C43" i="2" a="1"/>
  <c r="C44" i="2" a="1"/>
  <c r="C45" i="2" a="1"/>
  <c r="C46" i="2" a="1"/>
  <c r="C47" i="2" a="1"/>
  <c r="D24" i="2" a="1"/>
  <c r="E24" i="2" a="1"/>
  <c r="F24" i="2" a="1"/>
  <c r="D25" i="2" a="1"/>
  <c r="E25" i="2" a="1"/>
  <c r="F25" i="2" a="1"/>
  <c r="D26" i="2" a="1"/>
  <c r="E26" i="2" a="1"/>
  <c r="F26" i="2" a="1"/>
  <c r="D27" i="2" a="1"/>
  <c r="E27" i="2" a="1"/>
  <c r="F27" i="2" a="1"/>
  <c r="D28" i="2" a="1"/>
  <c r="E28" i="2" a="1"/>
  <c r="F28" i="2" a="1"/>
  <c r="D29" i="2" a="1"/>
  <c r="E29" i="2" a="1"/>
  <c r="F29" i="2" a="1"/>
  <c r="F23" i="2" a="1"/>
  <c r="E23" i="2" a="1"/>
  <c r="D23" i="2" a="1"/>
  <c r="C24" i="2" a="1"/>
  <c r="C25" i="2" a="1"/>
  <c r="C26" i="2" a="1"/>
  <c r="C27" i="2" a="1"/>
  <c r="C28" i="2" a="1"/>
  <c r="C29" i="2" a="1"/>
  <c r="C23" i="2" a="1"/>
  <c r="O18" i="7"/>
  <c r="C4" i="2" a="1"/>
  <c r="J2" i="1" a="1"/>
  <c r="C5" i="9" a="1"/>
  <c r="G46" i="5" a="1"/>
  <c r="H14" i="2"/>
  <c r="B52" i="2"/>
  <c r="C60" i="2" a="1"/>
  <c r="D60" i="2" a="1"/>
  <c r="E60" i="2" a="1"/>
  <c r="F60" i="2" a="1"/>
  <c r="C61" i="2" a="1"/>
  <c r="D61" i="2" a="1"/>
  <c r="E61" i="2" a="1"/>
  <c r="F61" i="2" a="1"/>
  <c r="C62" i="2" a="1"/>
  <c r="D62" i="2" a="1"/>
  <c r="E62" i="2" a="1"/>
  <c r="F62" i="2" a="1"/>
  <c r="C63" i="2" a="1"/>
  <c r="D63" i="2" a="1"/>
  <c r="E63" i="2" a="1"/>
  <c r="F63" i="2" a="1"/>
  <c r="C64" i="2" a="1"/>
  <c r="D64" i="2" a="1"/>
  <c r="E64" i="2" a="1"/>
  <c r="F64" i="2" a="1"/>
  <c r="C65" i="2" a="1"/>
  <c r="D65" i="2" a="1"/>
  <c r="E65" i="2" a="1"/>
  <c r="F65" i="2" a="1"/>
  <c r="C66" i="2" a="1"/>
  <c r="D66" i="2" a="1"/>
  <c r="E66" i="2" a="1"/>
  <c r="F66" i="2" a="1"/>
  <c r="F59" i="2" a="1"/>
  <c r="E59" i="2" a="1"/>
  <c r="D59" i="2" a="1"/>
  <c r="C59" i="2" a="1"/>
  <c r="C41" i="2" a="1"/>
  <c r="B34" i="2"/>
  <c r="D30" i="7"/>
  <c r="E30" i="7"/>
  <c r="F30" i="7"/>
  <c r="G30" i="7"/>
  <c r="D31" i="7"/>
  <c r="E31" i="7"/>
  <c r="F31" i="7"/>
  <c r="G31" i="7"/>
  <c r="D28" i="7"/>
  <c r="E28" i="7"/>
  <c r="F28" i="7"/>
  <c r="G28" i="7"/>
  <c r="D29" i="7"/>
  <c r="E29" i="7"/>
  <c r="F29" i="7"/>
  <c r="G29" i="7"/>
  <c r="G27" i="7"/>
  <c r="F27" i="7"/>
  <c r="E27" i="7"/>
  <c r="R18" i="7"/>
  <c r="Q18" i="7"/>
  <c r="P18" i="7"/>
  <c r="C14" i="3" a="1"/>
  <c r="B13" i="6" a="1"/>
  <c r="D15" i="7"/>
  <c r="D13" i="7"/>
  <c r="I22" i="7"/>
  <c r="I21" i="7"/>
  <c r="I20" i="7"/>
  <c r="R13" i="7"/>
  <c r="Q13" i="7"/>
  <c r="P13" i="7"/>
  <c r="O13" i="7"/>
  <c r="R7" i="7"/>
  <c r="Q7" i="7"/>
  <c r="P7" i="7"/>
  <c r="I19" i="7"/>
  <c r="I18" i="7"/>
  <c r="I17" i="7"/>
  <c r="I16" i="7"/>
  <c r="I15" i="7"/>
  <c r="I14" i="7"/>
  <c r="I13" i="7"/>
  <c r="I12" i="7"/>
  <c r="I11" i="7"/>
  <c r="I10" i="7"/>
  <c r="I9" i="7"/>
  <c r="I8" i="7"/>
  <c r="I7" i="7"/>
  <c r="G13" i="7"/>
  <c r="G12" i="7"/>
  <c r="G11" i="7"/>
  <c r="G10" i="7"/>
  <c r="G9" i="7"/>
  <c r="G8" i="7"/>
  <c r="G7" i="7"/>
  <c r="D9" i="7"/>
  <c r="D14" i="7"/>
  <c r="D12" i="7"/>
  <c r="D11" i="7"/>
  <c r="D10" i="7"/>
  <c r="D8" i="7"/>
  <c r="D7" i="7"/>
  <c r="W14" i="3"/>
  <c r="AB11" i="3" a="1"/>
  <c r="G53" i="11"/>
  <c r="Q32" i="2"/>
  <c r="X14" i="3"/>
  <c r="D14" i="6"/>
  <c r="D15" i="6"/>
  <c r="D16" i="6"/>
  <c r="D17" i="6"/>
  <c r="D18" i="6"/>
  <c r="D19" i="6"/>
  <c r="G14" i="6"/>
  <c r="G15" i="6"/>
  <c r="G16" i="6"/>
  <c r="G17" i="6"/>
  <c r="G18" i="6"/>
  <c r="G19" i="6"/>
  <c r="H14" i="6"/>
  <c r="H15" i="6"/>
  <c r="H16" i="6"/>
  <c r="H17" i="6"/>
  <c r="H18" i="6"/>
  <c r="H19" i="6"/>
  <c r="D69" i="11" a="1"/>
  <c r="D57" i="11" a="1"/>
  <c r="Q35" i="2" a="1"/>
  <c r="Q22" i="2" a="1"/>
  <c r="J28" i="2" a="1"/>
  <c r="F82" i="2"/>
  <c r="F84" i="2"/>
  <c r="F86" i="2"/>
  <c r="B16" i="10"/>
  <c r="A16" i="10"/>
  <c r="C84" i="2"/>
  <c r="D84" i="2"/>
  <c r="G84" i="2"/>
  <c r="D82" i="2"/>
  <c r="D86" i="2"/>
  <c r="C82" i="2"/>
  <c r="G82" i="2"/>
  <c r="C86" i="2"/>
  <c r="K24" i="2"/>
  <c r="L24" i="2"/>
  <c r="K22" i="2"/>
  <c r="L22" i="2"/>
  <c r="K23" i="2"/>
  <c r="L23" i="2"/>
  <c r="B92" i="2" a="1"/>
  <c r="E14" i="6"/>
  <c r="F14" i="6"/>
  <c r="E15" i="6"/>
  <c r="F15" i="6"/>
  <c r="B13" i="6"/>
  <c r="B14" i="6"/>
  <c r="B15" i="6"/>
  <c r="B16" i="6"/>
  <c r="E16" i="6"/>
  <c r="F16" i="6"/>
  <c r="B17" i="6"/>
  <c r="E17" i="6"/>
  <c r="F17" i="6"/>
  <c r="B18" i="6"/>
  <c r="E18" i="6"/>
  <c r="F18" i="6"/>
  <c r="B19" i="6"/>
  <c r="E19" i="6"/>
  <c r="F19" i="6"/>
  <c r="D11" i="1" a="1"/>
  <c r="R91" i="2" a="1"/>
  <c r="S23" i="2"/>
  <c r="Q22" i="2"/>
  <c r="S22" i="2"/>
  <c r="T22" i="2"/>
  <c r="T23" i="2"/>
  <c r="T24" i="2"/>
  <c r="T25" i="2"/>
  <c r="C18" i="1"/>
  <c r="C19" i="1"/>
  <c r="C20" i="1"/>
  <c r="D11" i="1"/>
  <c r="C14" i="1"/>
  <c r="C15" i="1"/>
  <c r="C16" i="1"/>
  <c r="C17" i="1"/>
  <c r="C12" i="1"/>
  <c r="C13" i="1"/>
  <c r="C66" i="2"/>
  <c r="D66" i="2"/>
  <c r="E66" i="2"/>
  <c r="F66" i="2"/>
  <c r="G66" i="2"/>
  <c r="C65" i="2"/>
  <c r="D65" i="2"/>
  <c r="E65" i="2"/>
  <c r="F65" i="2"/>
  <c r="G65" i="2"/>
  <c r="C64" i="2"/>
  <c r="D64" i="2"/>
  <c r="E64" i="2"/>
  <c r="F64" i="2"/>
  <c r="G64" i="2"/>
  <c r="C63" i="2"/>
  <c r="D63" i="2"/>
  <c r="E63" i="2"/>
  <c r="F63" i="2"/>
  <c r="G63" i="2"/>
  <c r="C62" i="2"/>
  <c r="D62" i="2"/>
  <c r="E62" i="2"/>
  <c r="F62" i="2"/>
  <c r="G62" i="2"/>
  <c r="C61" i="2"/>
  <c r="D61" i="2"/>
  <c r="E61" i="2"/>
  <c r="F61" i="2"/>
  <c r="G61" i="2"/>
  <c r="C60" i="2"/>
  <c r="D60" i="2"/>
  <c r="E60" i="2"/>
  <c r="F60" i="2"/>
  <c r="G60" i="2"/>
  <c r="F59" i="2"/>
  <c r="F67" i="2"/>
  <c r="E59" i="2"/>
  <c r="E67" i="2"/>
  <c r="D59" i="2"/>
  <c r="D67" i="2"/>
  <c r="F41" i="2"/>
  <c r="F42" i="2"/>
  <c r="F43" i="2"/>
  <c r="F44" i="2"/>
  <c r="F45" i="2"/>
  <c r="F46" i="2"/>
  <c r="F47" i="2"/>
  <c r="F48" i="2"/>
  <c r="E41" i="2"/>
  <c r="E42" i="2"/>
  <c r="E43" i="2"/>
  <c r="E44" i="2"/>
  <c r="E45" i="2"/>
  <c r="E46" i="2"/>
  <c r="E47" i="2"/>
  <c r="E48" i="2"/>
  <c r="D41" i="2"/>
  <c r="D42" i="2"/>
  <c r="D43" i="2"/>
  <c r="D44" i="2"/>
  <c r="D45" i="2"/>
  <c r="D46" i="2"/>
  <c r="D47" i="2"/>
  <c r="D48" i="2"/>
  <c r="F23" i="2"/>
  <c r="F24" i="2"/>
  <c r="F25" i="2"/>
  <c r="F26" i="2"/>
  <c r="F27" i="2"/>
  <c r="F28" i="2"/>
  <c r="F29" i="2"/>
  <c r="F30" i="2"/>
  <c r="D23" i="2"/>
  <c r="D24" i="2"/>
  <c r="D25" i="2"/>
  <c r="D26" i="2"/>
  <c r="D27" i="2"/>
  <c r="D28" i="2"/>
  <c r="D29" i="2"/>
  <c r="D30" i="2"/>
  <c r="C11" i="1"/>
  <c r="C29" i="2"/>
  <c r="E29" i="2"/>
  <c r="G29" i="2"/>
  <c r="C42" i="2"/>
  <c r="G42" i="2"/>
  <c r="C43" i="2"/>
  <c r="G43" i="2"/>
  <c r="C44" i="2"/>
  <c r="G44" i="2"/>
  <c r="C45" i="2"/>
  <c r="G45" i="2"/>
  <c r="C46" i="2"/>
  <c r="G46" i="2"/>
  <c r="C47" i="2"/>
  <c r="G47" i="2"/>
  <c r="C41" i="2"/>
  <c r="C48" i="2"/>
  <c r="G41" i="2"/>
  <c r="C59" i="2"/>
  <c r="G59" i="2"/>
  <c r="G67" i="2"/>
  <c r="C67" i="2"/>
  <c r="C23" i="2"/>
  <c r="E23" i="2"/>
  <c r="G23" i="2"/>
  <c r="C24" i="2"/>
  <c r="C25" i="2"/>
  <c r="C26" i="2"/>
  <c r="C27" i="2"/>
  <c r="C28" i="2"/>
  <c r="C30" i="2"/>
  <c r="E24" i="2"/>
  <c r="E25" i="2"/>
  <c r="E26" i="2"/>
  <c r="E27" i="2"/>
  <c r="E28" i="2"/>
  <c r="E30" i="2"/>
  <c r="G24" i="2"/>
  <c r="G25" i="2"/>
  <c r="G26" i="2"/>
  <c r="G27" i="2"/>
  <c r="G28" i="2"/>
  <c r="G48" i="2"/>
  <c r="G30" i="2"/>
  <c r="G46" i="5"/>
  <c r="Q3" i="6"/>
  <c r="C15" i="3"/>
  <c r="C14" i="3"/>
  <c r="AB11" i="3"/>
  <c r="R25" i="7"/>
  <c r="Q25" i="7"/>
  <c r="P25" i="7"/>
  <c r="O25" i="7"/>
  <c r="B92" i="2"/>
  <c r="R91" i="2"/>
  <c r="Q35" i="2"/>
  <c r="J28" i="2"/>
  <c r="C4" i="2"/>
  <c r="J2" i="1"/>
  <c r="C5" i="9"/>
  <c r="D69" i="11"/>
  <c r="D57" i="11"/>
  <c r="G51" i="11"/>
  <c r="G46" i="11"/>
  <c r="G45" i="11"/>
  <c r="G44" i="11"/>
  <c r="G42"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<sst xmlns="http://schemas.openxmlformats.org/spreadsheetml/2006/main" count="704" uniqueCount="463">
  <si>
    <t>S/N</t>
  </si>
  <si>
    <t>SUIT  NUMBER</t>
  </si>
  <si>
    <t>PARTIES</t>
  </si>
  <si>
    <t>CLAIMANT COUNSEL</t>
  </si>
  <si>
    <t>DEFENDANT COUNSEL</t>
  </si>
  <si>
    <t>ADJ</t>
  </si>
  <si>
    <t>CIVIL CASES</t>
  </si>
  <si>
    <t>DEFAMATION</t>
  </si>
  <si>
    <t>SUIT NUMBER</t>
  </si>
  <si>
    <t>CASE TYPE</t>
  </si>
  <si>
    <t>NATURE OF CLAIM</t>
  </si>
  <si>
    <t>PHONE NUMBER</t>
  </si>
  <si>
    <t>E-MAIL</t>
  </si>
  <si>
    <t>DATE FILED</t>
  </si>
  <si>
    <t>STATUS</t>
  </si>
  <si>
    <t>DETAILS</t>
  </si>
  <si>
    <t>DATE CONCLUDED</t>
  </si>
  <si>
    <t>PHONE NUMBER2</t>
  </si>
  <si>
    <t>E-MAIL2</t>
  </si>
  <si>
    <t>HEARING LOG</t>
  </si>
  <si>
    <t>INSIGHTS</t>
  </si>
  <si>
    <t xml:space="preserve">🏠      Home </t>
  </si>
  <si>
    <t>LIST</t>
  </si>
  <si>
    <t>LAND</t>
  </si>
  <si>
    <t>CONTRACT</t>
  </si>
  <si>
    <t>TORT</t>
  </si>
  <si>
    <t>MATRIMONIAL</t>
  </si>
  <si>
    <t>LABOUR</t>
  </si>
  <si>
    <t>APPEAL</t>
  </si>
  <si>
    <t>TENANCY</t>
  </si>
  <si>
    <t>UNDEFENDED_LIST</t>
  </si>
  <si>
    <t>GARNISHEE</t>
  </si>
  <si>
    <t>FHR</t>
  </si>
  <si>
    <t>Category              Icon    Description</t>
  </si>
  <si>
    <t>MISDEMEANOR</t>
  </si>
  <si>
    <t>INFRINGEMENT</t>
  </si>
  <si>
    <t>JUDGES2</t>
  </si>
  <si>
    <t>DECLARATION OF TITLE</t>
  </si>
  <si>
    <t>BREACH</t>
  </si>
  <si>
    <t>DISSOLUTION</t>
  </si>
  <si>
    <t>TERMINATION</t>
  </si>
  <si>
    <t>POSSESSION</t>
  </si>
  <si>
    <t>LIQUIDATED DAMAGES</t>
  </si>
  <si>
    <t>-----------------------------------------------------</t>
  </si>
  <si>
    <t>ASSAULT</t>
  </si>
  <si>
    <t>ENFORCEMENT</t>
  </si>
  <si>
    <t>HON. JUST. S. C. AMADI (CJ)</t>
  </si>
  <si>
    <t>TRESPASS</t>
  </si>
  <si>
    <t>SPECIFIC PERFORMANCE</t>
  </si>
  <si>
    <t>NUISANCE</t>
  </si>
  <si>
    <t>ANNULMENT</t>
  </si>
  <si>
    <t>DISMISSAL</t>
  </si>
  <si>
    <t>MOTION</t>
  </si>
  <si>
    <t>FELONY</t>
  </si>
  <si>
    <t>MESNE PROFIT</t>
  </si>
  <si>
    <t>Court &amp; Case</t>
  </si>
  <si>
    <t>AFFRAY</t>
  </si>
  <si>
    <t>HON. JUST. J. N. AKPUGHUNUM</t>
  </si>
  <si>
    <t>INJUNCTION</t>
  </si>
  <si>
    <t>DAMAGES</t>
  </si>
  <si>
    <t>CONVERSION</t>
  </si>
  <si>
    <t>MAINTENANCE</t>
  </si>
  <si>
    <t>SUSPENSION</t>
  </si>
  <si>
    <t>CONCLUDED</t>
  </si>
  <si>
    <t>⚖️                    ⚖️      Justice / Court</t>
  </si>
  <si>
    <t>OBTAINING</t>
  </si>
  <si>
    <t>HON. JUST. E. TEETITO</t>
  </si>
  <si>
    <t>NEGLIENCE</t>
  </si>
  <si>
    <t>SEPARATION</t>
  </si>
  <si>
    <t>🏛️                    🏛️      Court Building</t>
  </si>
  <si>
    <t>STEALING</t>
  </si>
  <si>
    <t>HON. JUST. B. G. DIEPIRI</t>
  </si>
  <si>
    <t>📄                    📄      Case File / Status</t>
  </si>
  <si>
    <t>HON. JUST. A. CHEYCHE</t>
  </si>
  <si>
    <t>📘                    📘      Legal Document</t>
  </si>
  <si>
    <t>HON. JUST. T. S. OJI</t>
  </si>
  <si>
    <t>📑                    📑      Case Bundle / Dossier</t>
  </si>
  <si>
    <t>HON. JUST. S. BIAMBO</t>
  </si>
  <si>
    <t>HON. JUST. E. N. THOMPSON</t>
  </si>
  <si>
    <t>People</t>
  </si>
  <si>
    <t>HON. JUST. S.H. APRIOKU</t>
  </si>
  <si>
    <t>HEARING</t>
  </si>
  <si>
    <t>ACTIVE</t>
  </si>
  <si>
    <t>REPORT_OF_SETTLEMENT</t>
  </si>
  <si>
    <t>JUDGMENT</t>
  </si>
  <si>
    <t>STRUCK_OUT</t>
  </si>
  <si>
    <t>DISPOSED_OFF</t>
  </si>
  <si>
    <t>ADJOURNED_SINE_DIE</t>
  </si>
  <si>
    <t>👥                    👥      Parties</t>
  </si>
  <si>
    <t>HON. JUST. L.L. NYORDEE</t>
  </si>
  <si>
    <t>COURT</t>
  </si>
  <si>
    <t>MENTION</t>
  </si>
  <si>
    <t>SETTLED</t>
  </si>
  <si>
    <t>STRUCK OUT</t>
  </si>
  <si>
    <t>RELIST</t>
  </si>
  <si>
    <t>CLAIMANT</t>
  </si>
  <si>
    <t>EXTENTION OF TIME</t>
  </si>
  <si>
    <t>HEARD</t>
  </si>
  <si>
    <t>ENDED</t>
  </si>
  <si>
    <t>PENDING APPEAL</t>
  </si>
  <si>
    <t>👤                    👤      Single Person</t>
  </si>
  <si>
    <t>HON. JUST. M.W. DANAGOGO</t>
  </si>
  <si>
    <t>SUPREME COURT</t>
  </si>
  <si>
    <t>NOT SETTLED</t>
  </si>
  <si>
    <t>TO BE RELISTED</t>
  </si>
  <si>
    <t>DEFENDANT</t>
  </si>
  <si>
    <t>AMENDMENT</t>
  </si>
  <si>
    <t>COURT NOT SITTING</t>
  </si>
  <si>
    <t>🧑‍⚖️                  🧑‍⚖️     Judge</t>
  </si>
  <si>
    <t>HON. JUST. M.O. OPARA</t>
  </si>
  <si>
    <t>COURT OF APPEAL</t>
  </si>
  <si>
    <t>ADOPTION</t>
  </si>
  <si>
    <t>LEAVE</t>
  </si>
  <si>
    <t>WITNESS ABSENT</t>
  </si>
  <si>
    <t>🧑‍💼                  🧑‍💼     Lawyer / Counsel</t>
  </si>
  <si>
    <t>HON. I. R. MINAKIRI</t>
  </si>
  <si>
    <t>FEDERAL HIGH COURT</t>
  </si>
  <si>
    <t>DEFENCE</t>
  </si>
  <si>
    <t>JOINDER</t>
  </si>
  <si>
    <t>LETTER</t>
  </si>
  <si>
    <t>Cause_list</t>
  </si>
  <si>
    <t>OTHER_DATE</t>
  </si>
  <si>
    <t>HON. C.K. DAPPA ADDO</t>
  </si>
  <si>
    <t>HIGH COURT</t>
  </si>
  <si>
    <t>ADDRESS</t>
  </si>
  <si>
    <t>DISCONTINUED</t>
  </si>
  <si>
    <t>PROSECUTION</t>
  </si>
  <si>
    <t>SET ASIDE</t>
  </si>
  <si>
    <t>NOT MENTIONED</t>
  </si>
  <si>
    <t>TODAY</t>
  </si>
  <si>
    <t>ENTER DATE &gt;&gt;&gt;</t>
  </si>
  <si>
    <t>Dates &amp; Time</t>
  </si>
  <si>
    <t>HON. JUST. I. W. OBUZOR</t>
  </si>
  <si>
    <t>NICN</t>
  </si>
  <si>
    <t>SETTLED OUT OF COURT</t>
  </si>
  <si>
    <t>RULING</t>
  </si>
  <si>
    <t>OTHER DATE</t>
  </si>
  <si>
    <t>📅                    📅      Next Date / Hearing Date</t>
  </si>
  <si>
    <t>HON. JUST. C. N. WALI</t>
  </si>
  <si>
    <t>MAGISTRATE COURT</t>
  </si>
  <si>
    <t>PLEA</t>
  </si>
  <si>
    <t>STAY OF PROCEEDINGS</t>
  </si>
  <si>
    <t>PARTY NOT READY</t>
  </si>
  <si>
    <t>🗓️                    🗓️      Calendar</t>
  </si>
  <si>
    <t>HON. JUST. H.J. DAGOGO JACK</t>
  </si>
  <si>
    <t>FAMILY</t>
  </si>
  <si>
    <t>STAY OF EXECUTION</t>
  </si>
  <si>
    <t>NO PROOF OF SERVICE</t>
  </si>
  <si>
    <t>⏳                    ⏳      Days Remaining</t>
  </si>
  <si>
    <t>HON. JUST. I. WODI</t>
  </si>
  <si>
    <t>MULTIDOOR</t>
  </si>
  <si>
    <t>TAKEN</t>
  </si>
  <si>
    <t>PTC</t>
  </si>
  <si>
    <t>DISTRIBUTION</t>
  </si>
  <si>
    <t>LOWER COURTS</t>
  </si>
  <si>
    <t>APPELLATE</t>
  </si>
  <si>
    <t>JUDGMENT DELIVERED</t>
  </si>
  <si>
    <t>⌛                    ⌛      Time Passed</t>
  </si>
  <si>
    <t>HON. JUST. B.N.L. DEMUA</t>
  </si>
  <si>
    <t>DEFENDANT ABSENT</t>
  </si>
  <si>
    <t xml:space="preserve">LOWER </t>
  </si>
  <si>
    <t>NOT READY</t>
  </si>
  <si>
    <t>JUDGMENT NOT READY</t>
  </si>
  <si>
    <t>HON. JUST. I.P.C. IGWE</t>
  </si>
  <si>
    <t>XX OF WITNESS</t>
  </si>
  <si>
    <t xml:space="preserve">APPELLATE </t>
  </si>
  <si>
    <t>DELIVERED</t>
  </si>
  <si>
    <t>RULING DELIVERED</t>
  </si>
  <si>
    <t>Location</t>
  </si>
  <si>
    <t>HON. JUST. C.D. GREEN</t>
  </si>
  <si>
    <t>CONSENT JUDGMENT</t>
  </si>
  <si>
    <t>📍                    📍      Location / Venue</t>
  </si>
  <si>
    <t>HON. JUST. C. NWOGU</t>
  </si>
  <si>
    <t>NATIONAL INDUSTRIAL COURT</t>
  </si>
  <si>
    <t>P.O</t>
  </si>
  <si>
    <t>🧭                    🧭      Direction / Division</t>
  </si>
  <si>
    <t>HON. JUST. G.O. OLLOR</t>
  </si>
  <si>
    <t>MOVE</t>
  </si>
  <si>
    <t>🌍                    🌍      Region / Jurisdiction</t>
  </si>
  <si>
    <t>HON. JUST. A.U. K. CHUKU</t>
  </si>
  <si>
    <t>POST_JUDGMENT</t>
  </si>
  <si>
    <t>HON. JUST. F. A. FIBERESIMA</t>
  </si>
  <si>
    <t>Status Indicators</t>
  </si>
  <si>
    <t>HON. JUST. M.A. CHUKWU</t>
  </si>
  <si>
    <t>MOTION FOR STAY</t>
  </si>
  <si>
    <t>EX_PARTE</t>
  </si>
  <si>
    <t>✔️                    ✔️      Completed / OK</t>
  </si>
  <si>
    <t>HON. JUST. L. NGBOR</t>
  </si>
  <si>
    <t>TO BE CONTINUED</t>
  </si>
  <si>
    <t>SHOW_CAUSE</t>
  </si>
  <si>
    <t>❗                    ❗      Urgent</t>
  </si>
  <si>
    <t>HON. JUST. O. BEN-WHYTE</t>
  </si>
  <si>
    <t>DECREE ABSOLUTE</t>
  </si>
  <si>
    <t>⚠️                    ⚠️      Warning / Attention</t>
  </si>
  <si>
    <t>HON. JUST. O. GBASAM</t>
  </si>
  <si>
    <t>CREDITOR</t>
  </si>
  <si>
    <t>🔄                    🔄      Pending / Ongoing</t>
  </si>
  <si>
    <t>HON. JUST. S.S. POPNEN</t>
  </si>
  <si>
    <t>DEBTOR</t>
  </si>
  <si>
    <t>🟢                    🟢      Active</t>
  </si>
  <si>
    <t>HON. JUST. D.G. KIO</t>
  </si>
  <si>
    <t>🟡                    🟡      In Progress</t>
  </si>
  <si>
    <t>HON. JUST. C. ODILI</t>
  </si>
  <si>
    <t>🔴                    🔴      Delayed / Problem</t>
  </si>
  <si>
    <t>HON. JUST. C. A. NSIRIM</t>
  </si>
  <si>
    <t>HON. JUST. A. M. ORIYE</t>
  </si>
  <si>
    <t>Navigation</t>
  </si>
  <si>
    <t>HON. JUST. C.I. ADANGO</t>
  </si>
  <si>
    <t>⬅️                    ⬅️      Back</t>
  </si>
  <si>
    <t>HON. JUST. B. EMMANUEL-OKERE</t>
  </si>
  <si>
    <t>➡️                    ➡️      Next</t>
  </si>
  <si>
    <t>HON. JUST. O. NWIBANI</t>
  </si>
  <si>
    <t>🔍                    🔍      Search / Drill Down</t>
  </si>
  <si>
    <t>HON. JUST. P. C. MINI</t>
  </si>
  <si>
    <t>🏠                    🏠      Home / Dashboard</t>
  </si>
  <si>
    <t>HON. JUST. D.J. STEPHENS</t>
  </si>
  <si>
    <t>HON. JUST. FRANK ONYIRI</t>
  </si>
  <si>
    <t>HON. JUST. V. C. UGOJI</t>
  </si>
  <si>
    <t>HON. JUST. G. V.  OBOMANU</t>
  </si>
  <si>
    <t>HON. JUST. R. C. OGUGUO</t>
  </si>
  <si>
    <t>HON. JUST. A. E. FUBARA</t>
  </si>
  <si>
    <t>HON. JUST. L. WIFA-ADEDIPE</t>
  </si>
  <si>
    <t>HON. JUST. S. B. KOKPAN</t>
  </si>
  <si>
    <t>HON. JUST. I.I. M. OBU</t>
  </si>
  <si>
    <t>WRIT</t>
  </si>
  <si>
    <t>BAIL</t>
  </si>
  <si>
    <t>MOTIONS</t>
  </si>
  <si>
    <t>FALSE IMPRISONMENT</t>
  </si>
  <si>
    <t>CURRENT AGE OF CASE</t>
  </si>
  <si>
    <t>AGE WHEN CONCLUDED</t>
  </si>
  <si>
    <t>PARTICULARS</t>
  </si>
  <si>
    <t>PETITION</t>
  </si>
  <si>
    <t>HEARING DATE</t>
  </si>
  <si>
    <t>PURPOSE</t>
  </si>
  <si>
    <t>NEXT ACTION</t>
  </si>
  <si>
    <t>NEXT DATE</t>
  </si>
  <si>
    <t>ACTIONS</t>
  </si>
  <si>
    <t>RULING NOT READY</t>
  </si>
  <si>
    <t>NATURE OF CLAIM/CRIME</t>
  </si>
  <si>
    <t>NATURE</t>
  </si>
  <si>
    <t>CIVIL_SUIT</t>
  </si>
  <si>
    <t xml:space="preserve">RIVERS STATE HIGH COURT </t>
  </si>
  <si>
    <t>HIGH COURT 6 PORT HARCOUT</t>
  </si>
  <si>
    <t>CAUSE LIST FOR</t>
  </si>
  <si>
    <t>MALICIOUS PROSECUTION</t>
  </si>
  <si>
    <t>NUMBER</t>
  </si>
  <si>
    <t>ACTIVE CASES</t>
  </si>
  <si>
    <t>CRIMINAL CASES</t>
  </si>
  <si>
    <t>FUNDAMENTAL RIGHT CASES</t>
  </si>
  <si>
    <t>JUDGMENTS DELVERED PER QUARTER</t>
  </si>
  <si>
    <t>RULINGS DELIVERED PER QUARTER</t>
  </si>
  <si>
    <t>PENDING BAIL APPLICATIONS</t>
  </si>
  <si>
    <t>CASES UNDERGOING PTC</t>
  </si>
  <si>
    <t>CASES FOR HEARING</t>
  </si>
  <si>
    <t>CASES OF DEFENCE</t>
  </si>
  <si>
    <t>CASES FOR ADOPTION OF ADDRESSES</t>
  </si>
  <si>
    <t>AVERAGE LIFE SPAN OF CASES</t>
  </si>
  <si>
    <t>CONCLUDED CASES</t>
  </si>
  <si>
    <t>MATRIMONIAL CASES</t>
  </si>
  <si>
    <t>APPEALS</t>
  </si>
  <si>
    <t xml:space="preserve">STATISTICS </t>
  </si>
  <si>
    <t>ON REGISTER</t>
  </si>
  <si>
    <t>DATE ASSIGNED</t>
  </si>
  <si>
    <t>JUDGMENTS PER QUARTER</t>
  </si>
  <si>
    <t>Q1</t>
  </si>
  <si>
    <t>Q2</t>
  </si>
  <si>
    <t>Q3</t>
  </si>
  <si>
    <t>Q4</t>
  </si>
  <si>
    <t>CLAIMANT COUNSEL ABSENT</t>
  </si>
  <si>
    <t>DEFENDANT COUNSEL ABSENT</t>
  </si>
  <si>
    <t>CLAIMANT CLOSED CASE</t>
  </si>
  <si>
    <t>MOTION MOVED</t>
  </si>
  <si>
    <t>FINAL ADDRESSES ADOPTED</t>
  </si>
  <si>
    <t>ARRAINMENT</t>
  </si>
  <si>
    <t>CASES ASSIGNED PER QUARTER</t>
  </si>
  <si>
    <t>TREASON</t>
  </si>
  <si>
    <t>INTIGATION OF INVASION</t>
  </si>
  <si>
    <t>CONCEALMENT OF TREASON</t>
  </si>
  <si>
    <t>TREASONABLE FELONY</t>
  </si>
  <si>
    <t>PROMOTING INTER COMMUNAL WAR</t>
  </si>
  <si>
    <t>INCITING TO MUTINY</t>
  </si>
  <si>
    <t>RAPE</t>
  </si>
  <si>
    <t>ROBBERY</t>
  </si>
  <si>
    <t>ATTEMPTED ROBBERY</t>
  </si>
  <si>
    <t>CONSPIRACY TO COMMIT ROBBERY</t>
  </si>
  <si>
    <t>HOUSEBREAKING/BURGLARY</t>
  </si>
  <si>
    <t>OBTAINING BY FALSE PRETENCES</t>
  </si>
  <si>
    <t>CHEATING</t>
  </si>
  <si>
    <t>RECEIVING</t>
  </si>
  <si>
    <t>UNLAWFUL POSSESSION</t>
  </si>
  <si>
    <t>DISORDERLY CONDUCT</t>
  </si>
  <si>
    <t>UNLAWFUL ASSEMBLY</t>
  </si>
  <si>
    <t>RIOT</t>
  </si>
  <si>
    <t>INDECENCY</t>
  </si>
  <si>
    <t>COMMON ASSAULT</t>
  </si>
  <si>
    <t>ASSAULT OCCASIONING HARM</t>
  </si>
  <si>
    <t>THREATS</t>
  </si>
  <si>
    <t>PETTY THEFT</t>
  </si>
  <si>
    <t>WILFUL DAMAGE TO PROPERTY</t>
  </si>
  <si>
    <t>FRAUDULENT MISREPRESENTATION</t>
  </si>
  <si>
    <t>CYBERSTALKING</t>
  </si>
  <si>
    <t>BAIL GRANTED</t>
  </si>
  <si>
    <t>TRIAL</t>
  </si>
  <si>
    <t>APPLICATION FOR BAIL</t>
  </si>
  <si>
    <t>DATE TRIAL COMMENCED</t>
  </si>
  <si>
    <t>BAIL APPLICATION</t>
  </si>
  <si>
    <t>ARRAIGNMENT</t>
  </si>
  <si>
    <t>CRIMINAL_MATTER</t>
  </si>
  <si>
    <t>MAGISTRATE_COURT</t>
  </si>
  <si>
    <t>CIVIL APPEAL</t>
  </si>
  <si>
    <t>CRIMINAL APPEAL</t>
  </si>
  <si>
    <t>ORIGINATING SUMMONS</t>
  </si>
  <si>
    <t>QUARTERLIES</t>
  </si>
  <si>
    <t>OUTCOME</t>
  </si>
  <si>
    <t>WITHDRAWN</t>
  </si>
  <si>
    <t>CASETYPE</t>
  </si>
  <si>
    <t>OTHERS</t>
  </si>
  <si>
    <t>ORIGINATING_SUMMONS</t>
  </si>
  <si>
    <t>INTERPRETATION</t>
  </si>
  <si>
    <t>DOCUMENT</t>
  </si>
  <si>
    <t>LAW</t>
  </si>
  <si>
    <t>INJUNCTIONS</t>
  </si>
  <si>
    <t>MANDAMUS</t>
  </si>
  <si>
    <t>QUARTERLY INDICATORS</t>
  </si>
  <si>
    <t xml:space="preserve">CASES </t>
  </si>
  <si>
    <t>QUARTERLY INFORMATION</t>
  </si>
  <si>
    <t>CRIMINAL MATTERS</t>
  </si>
  <si>
    <t>PETITIONS</t>
  </si>
  <si>
    <t>=COUNTIFS(HCT6_CR[CASE TYPE],$C27,"&gt;="&amp;DATE(YEAR(TODAY()),4,1),HCT6_CR[DATE FILED],"&lt;"&amp;DATE(YEAR(TODAY()),4,1))</t>
  </si>
  <si>
    <t>QUARTER</t>
  </si>
  <si>
    <t>SELECT YEAR  &gt;&gt;&gt;&gt;&gt;&gt;</t>
  </si>
  <si>
    <t>SELECT QUARTER &gt;&gt;&gt;&gt;&gt;&gt;&gt;</t>
  </si>
  <si>
    <t>QUARTERLY TOTALS</t>
  </si>
  <si>
    <t>EXECUTIVE SUMMARY OF KEY PERFORMANCE INDICATORS FOR HIGH COURT 6</t>
  </si>
  <si>
    <t>REPORT SUMMARY</t>
  </si>
  <si>
    <t xml:space="preserve">SUIT NUMBER </t>
  </si>
  <si>
    <t xml:space="preserve">CASE TYPE </t>
  </si>
  <si>
    <t>SELECT QUARTER</t>
  </si>
  <si>
    <t>DATE OF JUDGMENT</t>
  </si>
  <si>
    <t>PRESIDED OVER BY HON, JUSTICE E. N. THOMPSON</t>
  </si>
  <si>
    <t xml:space="preserve">AVERAGE AGE </t>
  </si>
  <si>
    <t>LIST OF ALL JUDGMENTS DELIVERED</t>
  </si>
  <si>
    <t>JUDGMENTS DELIVERED PER QUARTER  - FOR YEAR : &gt;&gt;</t>
  </si>
  <si>
    <t>CURRENT CASE AGE</t>
  </si>
  <si>
    <t>ABOVE 7 YEARS</t>
  </si>
  <si>
    <t>4 - 6 YEARS</t>
  </si>
  <si>
    <t>0 - 3 YEARS</t>
  </si>
  <si>
    <t>BAIL PENDING TRIAL</t>
  </si>
  <si>
    <t>BAIL PENDING APPEAL</t>
  </si>
  <si>
    <t>CLAIM</t>
  </si>
  <si>
    <t>DORMANT</t>
  </si>
  <si>
    <t>ACTIVITY LEVEL</t>
  </si>
  <si>
    <t>DIRECTORY OF APPEARING COUNSEL</t>
  </si>
  <si>
    <t>MURDER</t>
  </si>
  <si>
    <t>MANSLAUGHTER</t>
  </si>
  <si>
    <t>ARSON</t>
  </si>
  <si>
    <t>FORGERY</t>
  </si>
  <si>
    <t>IMPERSONATION</t>
  </si>
  <si>
    <t>PUBLISHING DEFAMATORY MATTER</t>
  </si>
  <si>
    <t>KIDNAPPING</t>
  </si>
  <si>
    <t>SUICIDE</t>
  </si>
  <si>
    <t>AGE OF EACH CASE (SELECT A RANGE HERE&gt;&gt;&gt;&gt;)</t>
  </si>
  <si>
    <r>
      <rPr>
        <sz val="11"/>
        <color theme="9"/>
        <rFont val="Calibri"/>
        <family val="2"/>
        <scheme val="minor"/>
      </rPr>
      <t xml:space="preserve">🟢  </t>
    </r>
    <r>
      <rPr>
        <sz val="11"/>
        <color rgb="FF92D050"/>
        <rFont val="Calibri"/>
        <family val="2"/>
        <scheme val="minor"/>
      </rPr>
      <t xml:space="preserve"> </t>
    </r>
    <r>
      <rPr>
        <sz val="11"/>
        <color theme="1"/>
        <rFont val="Calibri"/>
        <family val="2"/>
        <scheme val="minor"/>
      </rPr>
      <t xml:space="preserve">     </t>
    </r>
  </si>
  <si>
    <t>(HCT6_HL[OUTCOME]="JUDGMENT DELIVERED")*</t>
  </si>
  <si>
    <t>(YEAR(HCT6_HL[DATE CONCLUDED])=$B$74)*</t>
  </si>
  <si>
    <t>(ROUNDUP(MONTH(HCT6_HL[DATE CONCLUDED])/3,0)=VALUE(RIGHT($D$74,1))),</t>
  </si>
  <si>
    <t>NO DATA PROVIDED YET</t>
  </si>
  <si>
    <t>)</t>
  </si>
  <si>
    <t>SELECT YEAR              &gt;&gt;&gt;&gt;</t>
  </si>
  <si>
    <t>SELECT QUARTER          &gt;&gt;&gt;&gt;&gt;</t>
  </si>
  <si>
    <t>WORK LOAD ANALYSIS PER QUARTER</t>
  </si>
  <si>
    <t>FOR JUDGMENT</t>
  </si>
  <si>
    <t>FOR ADDRESS</t>
  </si>
  <si>
    <t>FOR HEARING</t>
  </si>
  <si>
    <t>FOR MENTION</t>
  </si>
  <si>
    <t>FOR MOTION</t>
  </si>
  <si>
    <t>FOR DEFENCE</t>
  </si>
  <si>
    <t>FOR PLEA</t>
  </si>
  <si>
    <t>FOR PTC</t>
  </si>
  <si>
    <t>FOR RULING</t>
  </si>
  <si>
    <t>FOR REPORT_OF_SETTLEMENT</t>
  </si>
  <si>
    <t>FOR TRIAL</t>
  </si>
  <si>
    <t>FOR ARRAIGNMENT</t>
  </si>
  <si>
    <t>NUMBER OF ACTIVE CASES ONGOING CASES</t>
  </si>
  <si>
    <t>AGE RANGE</t>
  </si>
  <si>
    <t>% of active cases</t>
  </si>
  <si>
    <t>AGE MATRIX OF ACTIVE CASES</t>
  </si>
  <si>
    <t>0 - 3 YEARS OLD</t>
  </si>
  <si>
    <t>BETWEEN 4 AND 6 YEARS OLD</t>
  </si>
  <si>
    <t>ABOVE SEVEN (7) YEARS</t>
  </si>
  <si>
    <t>AGE DISPLAY</t>
  </si>
  <si>
    <t>AGE OF CASE</t>
  </si>
  <si>
    <t>AGE RANGE BY TYPE OF CASE</t>
  </si>
  <si>
    <t>AVERAGE  AGES OF CASES BY CASE TYPE</t>
  </si>
  <si>
    <t xml:space="preserve">AGE DISPLAY </t>
  </si>
  <si>
    <t xml:space="preserve">JUDGMENTS DELVERED </t>
  </si>
  <si>
    <t xml:space="preserve">RULING DELIVERED </t>
  </si>
  <si>
    <t>BREAKDOWN OF CONCLUDED MATTERS/RULINGS</t>
  </si>
  <si>
    <t>AGE OF OLDEST ACTIVE CASE</t>
  </si>
  <si>
    <t>CLAIM/CRIME</t>
  </si>
  <si>
    <t/>
  </si>
  <si>
    <t>PARTICULARS OF THE JUDGE</t>
  </si>
  <si>
    <t>NAME OF JUDGE:</t>
  </si>
  <si>
    <t>COURT:</t>
  </si>
  <si>
    <t>DIVISION :</t>
  </si>
  <si>
    <t>DIVISIONS</t>
  </si>
  <si>
    <t>PORT HARCOURT</t>
  </si>
  <si>
    <t>AHOADA</t>
  </si>
  <si>
    <t>DEGEMA</t>
  </si>
  <si>
    <t>NCHIA</t>
  </si>
  <si>
    <t>BORI</t>
  </si>
  <si>
    <t>OMOKU</t>
  </si>
  <si>
    <t>ISIOKPO</t>
  </si>
  <si>
    <t>OKRIKA</t>
  </si>
  <si>
    <t>OHEHI</t>
  </si>
  <si>
    <t>EMUOHA</t>
  </si>
  <si>
    <t>OYIBGO</t>
  </si>
  <si>
    <t>BONNY</t>
  </si>
  <si>
    <t>TAI/ELEME</t>
  </si>
  <si>
    <t>QUARTER UNDER REVIEW</t>
  </si>
  <si>
    <t>REPORTING PERIOD</t>
  </si>
  <si>
    <t>FROM</t>
  </si>
  <si>
    <t>TO</t>
  </si>
  <si>
    <t>EXECUTIVE SUMMARY</t>
  </si>
  <si>
    <t>THIS RETURN REFLECTS THE JUDICIAL ACTITVITY UNDERTAKEN WITHIN THRE ABOVE STATED PERIOD</t>
  </si>
  <si>
    <t>INCLUDING JUDGMENTS DELIVERED, RULINGS ISSUED, CASES HEARD, MATTERS CONCLUDED AND</t>
  </si>
  <si>
    <t xml:space="preserve">PENDING DOCKETS. </t>
  </si>
  <si>
    <t>IT IS SUBMITTED IN COMPLIANCE WITH THE GUIDELINES OF THE NATIONAL JUDICIAL COUNCIL</t>
  </si>
  <si>
    <t>STATISTICAL SUMMARY OF CASES</t>
  </si>
  <si>
    <t>NEW CASES ASSIGNED</t>
  </si>
  <si>
    <t>YEAR</t>
  </si>
  <si>
    <t xml:space="preserve">CASES CARRIED OVER </t>
  </si>
  <si>
    <t>(A) CASES ASSIGNED DURING THE QUARTER</t>
  </si>
  <si>
    <t>(B) CASES CONCLUDED</t>
  </si>
  <si>
    <t xml:space="preserve">JUDGMENTS DELIVERED </t>
  </si>
  <si>
    <t>(CONTESTED )</t>
  </si>
  <si>
    <t>(UNCONTESTED)</t>
  </si>
  <si>
    <t>MATTERS STRUCK OUT</t>
  </si>
  <si>
    <t>MATTERS WITHDRAWN</t>
  </si>
  <si>
    <t>MATTERS SETTLED</t>
  </si>
  <si>
    <t>(C ) PENDING MATTERS</t>
  </si>
  <si>
    <t>TOTAL PENDING CASES AT END OF QUARTER</t>
  </si>
  <si>
    <t>CASES PENDING FOR OVER ONE YEAR</t>
  </si>
  <si>
    <t>CASES PENDING FOR OVER FIVE YEARS</t>
  </si>
  <si>
    <t>DETAILS OF JUDGMENTS DELIVERED</t>
  </si>
  <si>
    <t>DETAILS OF RULING DELIVERED</t>
  </si>
  <si>
    <t>RECORD OF COURT SITTINGS</t>
  </si>
  <si>
    <t>TOTAL NUMBER OF SITTINGS HELD</t>
  </si>
  <si>
    <t>AVERAGE NUMBER OF CASES HEARD PER SITTING</t>
  </si>
  <si>
    <t>ADJOURNMRNTS AT INSTANCE OF COURT</t>
  </si>
  <si>
    <t>ADJOURNMENTS AT INSTANCE OF PARTIES</t>
  </si>
  <si>
    <t>DAYS COURT DID NOT SIT (WITH REASON):</t>
  </si>
  <si>
    <t>ADMINISTRATIVE AND ETHICAL COMPLIANCE</t>
  </si>
  <si>
    <t>RETURNS SUBMITTED VIA NJC PERFORMANCE EVALUATION PORTAL (Y/N):</t>
  </si>
  <si>
    <t>ANY TECHNICAL CHALLENGE ENCOUNTERED?</t>
  </si>
  <si>
    <t>ANY ETHICAL OR ADMINISTRATIVE ISSUES REPORTED?</t>
  </si>
  <si>
    <t>OBSERVATIONS, CHALLENGES OR RECOMMENDATIONS</t>
  </si>
  <si>
    <t>ATTESTATION</t>
  </si>
  <si>
    <t>I, THE UNDERSIGNED HEREBY AFFIRM THAT THE INFORMATION IN THIS QUARTERLY RETURN IS ACCURATE, COMPLETE</t>
  </si>
  <si>
    <t>AND SUBMITTED IN GOOD FAITH IN ACCORDANCE WITH THE DIRECTIVES OF THE NATIONAL JUDICAL COUNCIL</t>
  </si>
  <si>
    <t>JUDGE'S SIGNATURE</t>
  </si>
  <si>
    <t>DATE</t>
  </si>
  <si>
    <t>FROM PREVIOUS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</si>
</sst>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0.0"/>
    <numFmt numFmtId="166" formatCode="[$-F800]dddd\,\ mmmm\ dd\,\ yyyy"/>
    <numFmt numFmtId="167" formatCode="[$]dddd\,\ d\ mmmm\ yyyy;@" x16r2:formatCode16="[$-en-NG,1]dddd\,\ d\ mmmm\ yyyy;@"/>
    <numFmt numFmtId="168" formatCode="[$]dddd\,\ mmmm\ d\,\ yyyy;@" x16r2:formatCode16="[$-en-NG,1]dddd\,\ mmmm\ d\,\ yyyy;@"/>
  </numFmts>
  <fonts count="55" x14ac:knownFonts="1">
    <font>
      <sz val="11"/>
      <color theme="1"/>
      <name val="Calibri"/>
      <family val="2"/>
      <scheme val="minor"/>
    </font>
    <font>
      <sz val="18"/>
      <color theme="3"/>
      <name val="Calibri Light"/>
      <family val="2"/>
      <scheme val="major"/>
    </font>
    <font>
      <b/>
      <sz val="11"/>
      <color theme="0"/>
      <name val="Calibri"/>
      <family val="2"/>
      <scheme val="minor"/>
    </font>
    <font>
      <sz val="11"/>
      <color theme="1"/>
      <name val="Calibri"/>
      <family val="2"/>
      <scheme val="minor"/>
    </font>
    <font>
      <b/>
      <sz val="13"/>
      <color theme="3"/>
      <name val="Calibri"/>
      <family val="2"/>
      <scheme val="minor"/>
    </font>
    <font>
      <sz val="11"/>
      <color rgb="FF9C5700"/>
      <name val="Calibri"/>
      <family val="2"/>
      <scheme val="minor"/>
    </font>
    <font>
      <b/>
      <sz val="15"/>
      <color theme="3"/>
      <name val="Calibri"/>
      <family val="2"/>
      <scheme val="minor"/>
    </font>
    <font>
      <sz val="11"/>
      <color theme="0"/>
      <name val="Calibri"/>
      <family val="2"/>
      <scheme val="minor"/>
    </font>
    <font>
      <u/>
      <sz val="11"/>
      <color theme="10"/>
      <name val="Calibri"/>
      <family val="2"/>
      <scheme val="minor"/>
    </font>
    <font>
      <b/>
      <sz val="11"/>
      <color theme="1"/>
      <name val="Aharoni"/>
      <charset val="177"/>
    </font>
    <font>
      <b/>
      <u val="double"/>
      <sz val="11"/>
      <color theme="1"/>
      <name val="Aptos Black"/>
      <family val="2"/>
    </font>
    <font>
      <b/>
      <sz val="15"/>
      <color theme="0"/>
      <name val="Garamond"/>
      <family val="1"/>
    </font>
    <font>
      <u/>
      <sz val="12"/>
      <color theme="10"/>
      <name val="Garamond"/>
      <family val="1"/>
    </font>
    <font>
      <u/>
      <sz val="11"/>
      <color theme="10"/>
      <name val="Garamond"/>
      <family val="1"/>
    </font>
    <font>
      <b/>
      <sz val="13"/>
      <color theme="0"/>
      <name val="Calibri"/>
      <family val="2"/>
      <scheme val="minor"/>
    </font>
    <font>
      <sz val="11"/>
      <name val="Calibri"/>
      <family val="2"/>
      <scheme val="minor"/>
    </font>
    <font>
      <sz val="14"/>
      <color theme="1"/>
      <name val="Aharoni"/>
      <charset val="177"/>
    </font>
    <font>
      <sz val="18"/>
      <color theme="1"/>
      <name val="Aharoni"/>
      <charset val="177"/>
    </font>
    <font>
      <sz val="16"/>
      <color theme="1"/>
      <name val="Aharoni"/>
      <charset val="177"/>
    </font>
    <font>
      <sz val="8"/>
      <name val="Calibri"/>
      <family val="2"/>
      <scheme val="minor"/>
    </font>
    <font>
      <b/>
      <sz val="11"/>
      <color theme="0"/>
      <name val="Aharoni"/>
      <charset val="177"/>
    </font>
    <font>
      <sz val="11"/>
      <color theme="1"/>
      <name val="Aharoni"/>
      <charset val="177"/>
    </font>
    <font>
      <b/>
      <sz val="11"/>
      <name val="Calibri"/>
      <family val="2"/>
      <scheme val="minor"/>
    </font>
    <font>
      <b/>
      <sz val="11"/>
      <color theme="3"/>
      <name val="Calibri"/>
      <family val="2"/>
      <scheme val="minor"/>
    </font>
    <font>
      <b/>
      <sz val="11"/>
      <color theme="1"/>
      <name val="Calibri"/>
      <family val="2"/>
      <scheme val="minor"/>
    </font>
    <font>
      <b/>
      <sz val="18"/>
      <color rgb="FF1F2A44"/>
      <name val="Aharoni"/>
      <charset val="177"/>
    </font>
    <font>
      <sz val="12"/>
      <color theme="1"/>
      <name val="Aharoni"/>
      <charset val="177"/>
    </font>
    <font>
      <sz val="16"/>
      <color theme="1"/>
      <name val="Aptos Black"/>
      <family val="2"/>
    </font>
    <font>
      <sz val="14"/>
      <color theme="1"/>
      <name val="Aptos Black"/>
      <family val="2"/>
    </font>
    <font>
      <sz val="14"/>
      <color theme="1"/>
      <name val="Calibri"/>
      <family val="2"/>
      <scheme val="minor"/>
    </font>
    <font>
      <b/>
      <sz val="14"/>
      <color theme="0"/>
      <name val="Aharoni"/>
      <charset val="177"/>
    </font>
    <font>
      <sz val="14"/>
      <color theme="0"/>
      <name val="Aharoni"/>
      <charset val="177"/>
    </font>
    <font>
      <b/>
      <sz val="14"/>
      <color theme="3"/>
      <name val="Calibri"/>
      <family val="2"/>
      <scheme val="minor"/>
    </font>
    <font>
      <b/>
      <sz val="14"/>
      <color theme="0"/>
      <name val="Aptos Black"/>
      <family val="2"/>
    </font>
    <font>
      <sz val="12"/>
      <color theme="1"/>
      <name val="Aptos Black"/>
      <family val="2"/>
    </font>
    <font>
      <b/>
      <sz val="12"/>
      <color theme="1"/>
      <name val="Aptos Black"/>
      <family val="2"/>
    </font>
    <font>
      <b/>
      <sz val="15"/>
      <name val="Calibri"/>
      <family val="2"/>
      <scheme val="minor"/>
    </font>
    <font>
      <sz val="11"/>
      <color rgb="FF92D050"/>
      <name val="Calibri"/>
      <family val="2"/>
      <scheme val="minor"/>
    </font>
    <font>
      <sz val="11"/>
      <color theme="9"/>
      <name val="Calibri"/>
      <family val="2"/>
      <scheme val="minor"/>
    </font>
    <font>
      <b/>
      <sz val="14"/>
      <color theme="1"/>
      <name val="Calibri"/>
      <family val="2"/>
      <scheme val="minor"/>
    </font>
    <font>
      <b/>
      <sz val="14"/>
      <color rgb="FF23324A"/>
      <name val="Century Gothic"/>
      <family val="2"/>
    </font>
    <font>
      <sz val="14"/>
      <color rgb="FF23324A"/>
      <name val="Calibri"/>
      <family val="2"/>
      <scheme val="minor"/>
    </font>
    <font>
      <b/>
      <sz val="14"/>
      <color theme="1"/>
      <name val="Century Gothic"/>
      <family val="2"/>
    </font>
    <font>
      <sz val="11"/>
      <color theme="1"/>
      <name val="Wingdings"/>
      <charset val="2"/>
    </font>
    <font>
      <b/>
      <sz val="16"/>
      <color theme="1"/>
      <name val="Calibri"/>
      <family val="2"/>
      <scheme val="minor"/>
    </font>
    <font>
      <sz val="16"/>
      <color theme="1"/>
      <name val="Calibri"/>
      <family val="2"/>
      <scheme val="minor"/>
    </font>
    <font>
      <b/>
      <sz val="13"/>
      <color theme="1"/>
      <name val="Calibri"/>
      <family val="2"/>
      <scheme val="minor"/>
    </font>
    <font>
      <b/>
      <sz val="14"/>
      <name val="Aharoni"/>
      <charset val="177"/>
    </font>
    <font>
      <b/>
      <sz val="14"/>
      <color theme="1"/>
      <name val="Aharoni"/>
      <charset val="177"/>
    </font>
    <font>
      <b/>
      <sz val="11"/>
      <color rgb="FF3F3F3F"/>
      <name val="Calibri"/>
      <family val="2"/>
      <scheme val="minor"/>
    </font>
    <font>
      <b/>
      <sz val="12"/>
      <color theme="1"/>
      <name val="Calibri"/>
      <family val="2"/>
      <scheme val="minor"/>
    </font>
    <font>
      <b/>
      <sz val="12"/>
      <color rgb="FF3F3F3F"/>
      <name val="Calibri"/>
      <family val="2"/>
      <scheme val="minor"/>
    </font>
    <font>
      <b/>
      <sz val="13"/>
      <name val="Calibri"/>
      <family val="2"/>
      <scheme val="minor"/>
    </font>
    <font>
      <b/>
      <sz val="14"/>
      <color theme="1"/>
      <name val="Aptos Black"/>
      <family val="2"/>
    </font>
    <font>
      <sz val="12"/>
      <color theme="1"/>
      <name val="Calibri"/>
      <family val="2"/>
      <scheme val="minor"/>
    </font>
  </fonts>
  <fills count="40">
    <fill>
      <patternFill patternType="none"/>
    </fill>
    <fill>
      <patternFill patternType="gray125"/>
    </fill>
    <fill>
      <patternFill patternType="solid">
        <fgColor rgb="FFFFEB9C"/>
      </patternFill>
    </fill>
    <fill>
      <patternFill patternType="solid">
        <fgColor theme="7" tint="0.59999389629810485"/>
        <bgColor indexed="65"/>
      </patternFill>
    </fill>
    <fill>
      <patternFill patternType="solid">
        <fgColor rgb="FF8E6900"/>
        <bgColor indexed="64"/>
      </patternFill>
    </fill>
    <fill>
      <patternFill patternType="solid">
        <fgColor rgb="FFAE94AF"/>
        <bgColor indexed="64"/>
      </patternFill>
    </fill>
    <fill>
      <patternFill patternType="solid">
        <fgColor rgb="FFE2A700"/>
        <bgColor indexed="64"/>
      </patternFill>
    </fill>
    <fill>
      <patternFill patternType="solid">
        <fgColor rgb="FFF4F7F6"/>
        <bgColor indexed="64"/>
      </patternFill>
    </fill>
    <fill>
      <patternFill patternType="solid">
        <fgColor rgb="FFF5F7F9"/>
        <bgColor indexed="64"/>
      </patternFill>
    </fill>
    <fill>
      <patternFill patternType="solid">
        <fgColor rgb="FFD9E2F3"/>
        <bgColor indexed="64"/>
      </patternFill>
    </fill>
    <fill>
      <patternFill patternType="solid">
        <fgColor rgb="FFF8FBFD"/>
        <bgColor indexed="64"/>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6" tint="0.79998168889431442"/>
        <bgColor indexed="65"/>
      </patternFill>
    </fill>
    <fill>
      <patternFill patternType="solid">
        <fgColor theme="8"/>
      </patternFill>
    </fill>
    <fill>
      <patternFill patternType="solid">
        <fgColor theme="4"/>
        <bgColor theme="4"/>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2" tint="-0.749961851863155"/>
        <bgColor indexed="64"/>
      </patternFill>
    </fill>
    <fill>
      <patternFill patternType="solid">
        <fgColor rgb="FF00091A"/>
        <bgColor indexed="64"/>
      </patternFill>
    </fill>
    <fill>
      <patternFill patternType="solid">
        <fgColor theme="4" tint="-0.499984740745262"/>
        <bgColor indexed="64"/>
      </patternFill>
    </fill>
    <fill>
      <patternFill patternType="solid">
        <fgColor theme="6"/>
      </patternFill>
    </fill>
    <fill>
      <patternFill patternType="solid">
        <fgColor theme="7"/>
      </patternFill>
    </fill>
    <fill>
      <patternFill patternType="solid">
        <fgColor theme="8" tint="0.79998168889431442"/>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rgb="FFF2F2F2"/>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7" tint="0.79998168889431442"/>
        <bgColor indexed="65"/>
      </patternFill>
    </fill>
    <fill>
      <patternFill patternType="solid">
        <fgColor theme="7" tint="0.39997558519241921"/>
        <bgColor indexed="65"/>
      </patternFill>
    </fill>
  </fills>
  <borders count="37">
    <border>
      <left/>
      <right/>
      <top/>
      <bottom/>
      <diagonal/>
    </border>
    <border>
      <left/>
      <right/>
      <top/>
      <bottom style="thick">
        <color theme="4" tint="0.499984740745262"/>
      </bottom>
      <diagonal/>
    </border>
    <border>
      <left/>
      <right/>
      <top/>
      <bottom style="thick">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bottom style="medium">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style="thick">
        <color theme="4" tint="0.499984740745262"/>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style="medium">
        <color theme="4" tint="0.39997558519241921"/>
      </top>
      <bottom/>
      <diagonal/>
    </border>
    <border>
      <left style="thin">
        <color indexed="64"/>
      </left>
      <right style="thin">
        <color indexed="64"/>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right/>
      <top style="thick">
        <color theme="4" tint="0.499984740745262"/>
      </top>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thick">
        <color theme="4" tint="0.499984740745262"/>
      </top>
      <bottom/>
      <diagonal/>
    </border>
    <border>
      <left/>
      <right style="thin">
        <color indexed="64"/>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ck">
        <color theme="4" tint="0.499984740745262"/>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39">
    <xf numFmtId="0" fontId="0" fillId="0" borderId="0"/>
    <xf numFmtId="0" fontId="1" fillId="0" borderId="0" applyNumberFormat="0" applyFill="0" applyBorder="0" applyAlignment="0" applyProtection="0"/>
    <xf numFmtId="0" fontId="4" fillId="0" borderId="1" applyNumberFormat="0" applyFill="0" applyAlignment="0" applyProtection="0"/>
    <xf numFmtId="0" fontId="5" fillId="2" borderId="0" applyNumberFormat="0" applyBorder="0" applyAlignment="0" applyProtection="0"/>
    <xf numFmtId="0" fontId="3" fillId="3" borderId="0" applyNumberFormat="0" applyBorder="0" applyAlignment="0" applyProtection="0"/>
    <xf numFmtId="0" fontId="3" fillId="4" borderId="0"/>
    <xf numFmtId="0" fontId="3" fillId="5" borderId="0"/>
    <xf numFmtId="0" fontId="3" fillId="6" borderId="0"/>
    <xf numFmtId="0" fontId="6" fillId="0" borderId="2" applyNumberFormat="0" applyFill="0" applyAlignment="0" applyProtection="0"/>
    <xf numFmtId="0" fontId="7"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7" fillId="16" borderId="0" applyNumberFormat="0" applyBorder="0" applyAlignment="0" applyProtection="0"/>
    <xf numFmtId="0" fontId="8" fillId="0" borderId="0" applyNumberFormat="0" applyFill="0" applyBorder="0" applyAlignment="0" applyProtection="0"/>
    <xf numFmtId="0" fontId="14" fillId="19" borderId="1"/>
    <xf numFmtId="0" fontId="14" fillId="20" borderId="1"/>
    <xf numFmtId="0" fontId="7" fillId="21" borderId="0"/>
    <xf numFmtId="0" fontId="3" fillId="22" borderId="0"/>
    <xf numFmtId="0" fontId="23" fillId="0" borderId="7" applyNumberFormat="0" applyFill="0" applyAlignment="0" applyProtection="0"/>
    <xf numFmtId="0" fontId="7" fillId="23" borderId="0" applyNumberFormat="0" applyBorder="0" applyAlignment="0" applyProtection="0"/>
    <xf numFmtId="0" fontId="7" fillId="24" borderId="0" applyNumberFormat="0" applyBorder="0" applyAlignment="0" applyProtection="0"/>
    <xf numFmtId="0" fontId="3" fillId="25" borderId="0" applyNumberFormat="0" applyBorder="0" applyAlignment="0" applyProtection="0"/>
    <xf numFmtId="0" fontId="7"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9" fontId="3" fillId="0" borderId="0" applyFont="0" applyFill="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49" fillId="34" borderId="32" applyNumberFormat="0" applyAlignment="0" applyProtection="0"/>
    <xf numFmtId="0" fontId="3" fillId="35"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cellStyleXfs>
  <cellXfs count="280">
    <xf numFmtId="0" fontId="0" fillId="0" borderId="0" xfId="0"/>
    <xf numFmtId="0" fontId="3" fillId="4" borderId="0" xfId="5"/>
    <xf numFmtId="0" fontId="3" fillId="12" borderId="0" xfId="10"/>
    <xf numFmtId="0" fontId="7" fillId="11" borderId="0" xfId="9"/>
    <xf numFmtId="0" fontId="7" fillId="16" borderId="0" xfId="14"/>
    <xf numFmtId="14" fontId="0" fillId="0" borderId="0" xfId="0" applyNumberFormat="1"/>
    <xf numFmtId="0" fontId="4" fillId="0" borderId="1" xfId="2"/>
    <xf numFmtId="0" fontId="11" fillId="17" borderId="2" xfId="0" applyFont="1" applyFill="1" applyBorder="1" applyAlignment="1">
      <alignment vertical="top"/>
    </xf>
    <xf numFmtId="0" fontId="12" fillId="18" borderId="3" xfId="0" applyFont="1" applyFill="1" applyBorder="1" applyAlignment="1">
      <alignment vertical="top"/>
    </xf>
    <xf numFmtId="0" fontId="12" fillId="0" borderId="3" xfId="0" applyFont="1" applyBorder="1" applyAlignment="1">
      <alignment horizontal="left" vertical="top"/>
    </xf>
    <xf numFmtId="0" fontId="12" fillId="0" borderId="3" xfId="0" applyFont="1" applyBorder="1" applyAlignment="1">
      <alignment vertical="top"/>
    </xf>
    <xf numFmtId="0" fontId="12" fillId="18" borderId="3" xfId="15" applyFont="1" applyFill="1" applyBorder="1" applyAlignment="1">
      <alignment vertical="top"/>
    </xf>
    <xf numFmtId="0" fontId="12" fillId="0" borderId="3" xfId="15" applyFont="1" applyBorder="1" applyAlignment="1">
      <alignment vertical="top"/>
    </xf>
    <xf numFmtId="0" fontId="13" fillId="18" borderId="3" xfId="15" applyFont="1" applyFill="1" applyBorder="1" applyAlignment="1">
      <alignment vertical="top"/>
    </xf>
    <xf numFmtId="0" fontId="6" fillId="0" borderId="2" xfId="8"/>
    <xf numFmtId="0" fontId="15" fillId="0" borderId="0" xfId="0" applyFont="1"/>
    <xf numFmtId="0" fontId="14" fillId="19" borderId="1" xfId="16"/>
    <xf numFmtId="0" fontId="0" fillId="0" borderId="4" xfId="0" applyBorder="1"/>
    <xf numFmtId="0" fontId="0" fillId="0" borderId="6" xfId="0" applyBorder="1"/>
    <xf numFmtId="0" fontId="0" fillId="18" borderId="4" xfId="0" applyFill="1" applyBorder="1"/>
    <xf numFmtId="0" fontId="0" fillId="18" borderId="6" xfId="0" applyFill="1" applyBorder="1"/>
    <xf numFmtId="0" fontId="20" fillId="17" borderId="9" xfId="0" applyFont="1" applyFill="1" applyBorder="1" applyAlignment="1">
      <alignment horizontal="center"/>
    </xf>
    <xf numFmtId="0" fontId="20" fillId="21" borderId="9" xfId="18" applyFont="1" applyBorder="1"/>
    <xf numFmtId="0" fontId="20" fillId="19" borderId="9" xfId="16" applyFont="1" applyBorder="1" applyAlignment="1">
      <alignment vertical="center"/>
    </xf>
    <xf numFmtId="0" fontId="20" fillId="19" borderId="10" xfId="16" applyFont="1" applyBorder="1"/>
    <xf numFmtId="0" fontId="20" fillId="22" borderId="10" xfId="19" applyFont="1" applyBorder="1"/>
    <xf numFmtId="0" fontId="20" fillId="22" borderId="9" xfId="19" applyFont="1" applyBorder="1"/>
    <xf numFmtId="0" fontId="2" fillId="11" borderId="9" xfId="9" applyFont="1" applyBorder="1"/>
    <xf numFmtId="0" fontId="22" fillId="14" borderId="9" xfId="12" applyFont="1" applyBorder="1"/>
    <xf numFmtId="0" fontId="22" fillId="13" borderId="9" xfId="11" applyFont="1" applyBorder="1"/>
    <xf numFmtId="0" fontId="22" fillId="24" borderId="0" xfId="22" applyFont="1"/>
    <xf numFmtId="0" fontId="23" fillId="0" borderId="7" xfId="20"/>
    <xf numFmtId="0" fontId="24" fillId="0" borderId="0" xfId="0" applyFont="1"/>
    <xf numFmtId="0" fontId="0" fillId="0" borderId="0" xfId="0" quotePrefix="1"/>
    <xf numFmtId="0" fontId="0" fillId="0" borderId="11" xfId="0" applyBorder="1"/>
    <xf numFmtId="0" fontId="0" fillId="0" borderId="13" xfId="0" applyBorder="1"/>
    <xf numFmtId="0" fontId="0" fillId="0" borderId="14" xfId="0" applyBorder="1"/>
    <xf numFmtId="0" fontId="0" fillId="0" borderId="15" xfId="0" applyBorder="1"/>
    <xf numFmtId="0" fontId="0" fillId="0" borderId="17" xfId="0" applyBorder="1"/>
    <xf numFmtId="0" fontId="22" fillId="12" borderId="9" xfId="10" applyFont="1" applyBorder="1"/>
    <xf numFmtId="0" fontId="24" fillId="15" borderId="8" xfId="13" applyFont="1" applyBorder="1"/>
    <xf numFmtId="0" fontId="24" fillId="18" borderId="18" xfId="0" applyFont="1" applyFill="1" applyBorder="1"/>
    <xf numFmtId="0" fontId="24" fillId="18" borderId="4" xfId="0" applyFont="1" applyFill="1" applyBorder="1"/>
    <xf numFmtId="0" fontId="0" fillId="18" borderId="5" xfId="0" applyFill="1" applyBorder="1"/>
    <xf numFmtId="0" fontId="0" fillId="0" borderId="5" xfId="0" applyBorder="1"/>
    <xf numFmtId="0" fontId="2" fillId="23" borderId="0" xfId="21" applyFont="1"/>
    <xf numFmtId="0" fontId="15" fillId="0" borderId="0" xfId="0" quotePrefix="1" applyFont="1"/>
    <xf numFmtId="0" fontId="2" fillId="0" borderId="0" xfId="0" applyFont="1" applyAlignment="1">
      <alignment horizontal="left"/>
    </xf>
    <xf numFmtId="0" fontId="24" fillId="0" borderId="0" xfId="0" applyFont="1" applyAlignment="1">
      <alignment horizontal="left"/>
    </xf>
    <xf numFmtId="0" fontId="15" fillId="18" borderId="21" xfId="0" quotePrefix="1" applyFont="1" applyFill="1" applyBorder="1"/>
    <xf numFmtId="0" fontId="15" fillId="18" borderId="3" xfId="0" quotePrefix="1" applyFont="1" applyFill="1" applyBorder="1"/>
    <xf numFmtId="0" fontId="15" fillId="18" borderId="20" xfId="0" quotePrefix="1" applyFont="1" applyFill="1" applyBorder="1"/>
    <xf numFmtId="0" fontId="24" fillId="0" borderId="0" xfId="0" applyFont="1" applyProtection="1">
      <protection hidden="1"/>
    </xf>
    <xf numFmtId="0" fontId="0" fillId="0" borderId="0" xfId="0" applyProtection="1">
      <protection hidden="1"/>
    </xf>
    <xf numFmtId="0" fontId="10" fillId="12" borderId="0" xfId="10" applyFont="1" applyProtection="1">
      <protection hidden="1"/>
    </xf>
    <xf numFmtId="0" fontId="0" fillId="7" borderId="0" xfId="0" applyFill="1" applyProtection="1">
      <protection hidden="1"/>
    </xf>
    <xf numFmtId="166" fontId="0" fillId="0" borderId="0" xfId="0" applyNumberFormat="1" applyProtection="1">
      <protection hidden="1"/>
    </xf>
    <xf numFmtId="0" fontId="7" fillId="21" borderId="0" xfId="18" applyProtection="1">
      <protection hidden="1"/>
    </xf>
    <xf numFmtId="0" fontId="29" fillId="0" borderId="0" xfId="0" applyFont="1" applyProtection="1">
      <protection hidden="1"/>
    </xf>
    <xf numFmtId="0" fontId="16" fillId="0" borderId="0" xfId="0" applyFont="1" applyProtection="1">
      <protection hidden="1"/>
    </xf>
    <xf numFmtId="0" fontId="0" fillId="0" borderId="0" xfId="0" applyAlignment="1" applyProtection="1">
      <alignment wrapText="1"/>
      <protection hidden="1"/>
    </xf>
    <xf numFmtId="0" fontId="27" fillId="0" borderId="22" xfId="0" applyFont="1" applyBorder="1" applyProtection="1">
      <protection locked="0"/>
    </xf>
    <xf numFmtId="0" fontId="14" fillId="20" borderId="1" xfId="17" applyAlignment="1" applyProtection="1">
      <alignment horizontal="center"/>
      <protection locked="0"/>
    </xf>
    <xf numFmtId="2" fontId="0" fillId="0" borderId="0" xfId="0" applyNumberFormat="1" applyProtection="1">
      <protection hidden="1"/>
    </xf>
    <xf numFmtId="0" fontId="3" fillId="7" borderId="0" xfId="5" applyFill="1" applyProtection="1">
      <protection hidden="1"/>
    </xf>
    <xf numFmtId="2" fontId="3" fillId="29" borderId="0" xfId="27" applyNumberFormat="1" applyProtection="1">
      <protection hidden="1"/>
    </xf>
    <xf numFmtId="0" fontId="3" fillId="15" borderId="0" xfId="13" applyProtection="1">
      <protection hidden="1"/>
    </xf>
    <xf numFmtId="0" fontId="3" fillId="12" borderId="0" xfId="10" applyProtection="1">
      <protection hidden="1"/>
    </xf>
    <xf numFmtId="0" fontId="3" fillId="28" borderId="0" xfId="26" applyProtection="1">
      <protection hidden="1"/>
    </xf>
    <xf numFmtId="0" fontId="9" fillId="13" borderId="0" xfId="11" applyFont="1" applyProtection="1">
      <protection hidden="1"/>
    </xf>
    <xf numFmtId="0" fontId="3" fillId="27" borderId="0" xfId="25" applyProtection="1">
      <protection hidden="1"/>
    </xf>
    <xf numFmtId="0" fontId="7" fillId="11" borderId="0" xfId="9" applyProtection="1">
      <protection hidden="1"/>
    </xf>
    <xf numFmtId="0" fontId="3" fillId="14" borderId="0" xfId="12" applyProtection="1">
      <protection hidden="1"/>
    </xf>
    <xf numFmtId="0" fontId="3" fillId="7" borderId="0" xfId="6" applyFill="1" applyProtection="1">
      <protection hidden="1"/>
    </xf>
    <xf numFmtId="0" fontId="7" fillId="16" borderId="0" xfId="14" applyProtection="1">
      <protection hidden="1"/>
    </xf>
    <xf numFmtId="0" fontId="3" fillId="7" borderId="0" xfId="7" applyFill="1" applyProtection="1">
      <protection hidden="1"/>
    </xf>
    <xf numFmtId="0" fontId="7" fillId="26" borderId="0" xfId="24" applyProtection="1">
      <protection hidden="1"/>
    </xf>
    <xf numFmtId="0" fontId="3" fillId="25" borderId="0" xfId="23" applyProtection="1">
      <protection hidden="1"/>
    </xf>
    <xf numFmtId="0" fontId="3" fillId="7" borderId="0" xfId="4" applyFill="1" applyProtection="1">
      <protection hidden="1"/>
    </xf>
    <xf numFmtId="0" fontId="3" fillId="13" borderId="0" xfId="11" applyProtection="1">
      <protection hidden="1"/>
    </xf>
    <xf numFmtId="0" fontId="5" fillId="7" borderId="0" xfId="3" applyFill="1" applyProtection="1">
      <protection hidden="1"/>
    </xf>
    <xf numFmtId="0" fontId="3" fillId="29" borderId="0" xfId="27" applyProtection="1">
      <protection hidden="1"/>
    </xf>
    <xf numFmtId="0" fontId="14" fillId="19" borderId="1" xfId="16" applyProtection="1">
      <protection hidden="1"/>
    </xf>
    <xf numFmtId="2" fontId="14" fillId="19" borderId="1" xfId="16" applyNumberFormat="1" applyProtection="1">
      <protection hidden="1"/>
    </xf>
    <xf numFmtId="0" fontId="0" fillId="7" borderId="0" xfId="0" applyFill="1" applyProtection="1">
      <protection locked="0" hidden="1"/>
    </xf>
    <xf numFmtId="0" fontId="0" fillId="0" borderId="0" xfId="0" applyAlignment="1" applyProtection="1">
      <alignment vertical="top"/>
      <protection hidden="1"/>
    </xf>
    <xf numFmtId="0" fontId="0" fillId="8" borderId="0" xfId="0" applyFill="1" applyAlignment="1" applyProtection="1">
      <alignment vertical="top"/>
      <protection hidden="1"/>
    </xf>
    <xf numFmtId="0" fontId="17" fillId="0" borderId="0" xfId="0" applyFont="1" applyProtection="1">
      <protection hidden="1"/>
    </xf>
    <xf numFmtId="0" fontId="18" fillId="0" borderId="0" xfId="0" applyFont="1" applyProtection="1">
      <protection hidden="1"/>
    </xf>
    <xf numFmtId="0" fontId="0" fillId="8" borderId="0" xfId="0" applyFill="1" applyProtection="1">
      <protection hidden="1"/>
    </xf>
    <xf numFmtId="0" fontId="25" fillId="9" borderId="5" xfId="1" applyFont="1" applyFill="1" applyBorder="1" applyProtection="1">
      <protection hidden="1"/>
    </xf>
    <xf numFmtId="0" fontId="25" fillId="9" borderId="19" xfId="1" applyFont="1" applyFill="1" applyBorder="1" applyAlignment="1" applyProtection="1">
      <alignment horizontal="center"/>
      <protection hidden="1"/>
    </xf>
    <xf numFmtId="0" fontId="25" fillId="9" borderId="19" xfId="1" applyFont="1" applyFill="1" applyBorder="1" applyProtection="1">
      <protection hidden="1"/>
    </xf>
    <xf numFmtId="0" fontId="0" fillId="0" borderId="22" xfId="0" applyBorder="1"/>
    <xf numFmtId="166" fontId="0" fillId="0" borderId="22" xfId="0" applyNumberFormat="1" applyBorder="1" applyProtection="1">
      <protection locked="0"/>
    </xf>
    <xf numFmtId="0" fontId="39" fillId="0" borderId="0" xfId="0" applyFont="1" applyProtection="1">
      <protection hidden="1"/>
    </xf>
    <xf numFmtId="0" fontId="39" fillId="0" borderId="27" xfId="0" applyFont="1" applyBorder="1" applyProtection="1">
      <protection locked="0"/>
    </xf>
    <xf numFmtId="0" fontId="29" fillId="7" borderId="0" xfId="0" applyFont="1" applyFill="1" applyProtection="1">
      <protection hidden="1"/>
    </xf>
    <xf numFmtId="0" fontId="29" fillId="7" borderId="0" xfId="0" applyFont="1" applyFill="1" applyProtection="1">
      <protection locked="0"/>
    </xf>
    <xf numFmtId="166" fontId="29" fillId="7" borderId="0" xfId="0" applyNumberFormat="1" applyFont="1" applyFill="1" applyProtection="1">
      <protection locked="0"/>
    </xf>
    <xf numFmtId="2" fontId="29" fillId="7" borderId="0" xfId="0" applyNumberFormat="1" applyFont="1" applyFill="1" applyProtection="1">
      <protection locked="0"/>
    </xf>
    <xf numFmtId="166" fontId="29" fillId="0" borderId="0" xfId="0" applyNumberFormat="1" applyFont="1" applyProtection="1">
      <protection locked="0"/>
    </xf>
    <xf numFmtId="167" fontId="29" fillId="7" borderId="0" xfId="0" applyNumberFormat="1" applyFont="1" applyFill="1" applyProtection="1">
      <protection locked="0"/>
    </xf>
    <xf numFmtId="166" fontId="18" fillId="0" borderId="22" xfId="0" applyNumberFormat="1" applyFont="1" applyBorder="1" applyProtection="1">
      <protection locked="0"/>
    </xf>
    <xf numFmtId="0" fontId="29" fillId="0" borderId="0" xfId="0" applyFont="1" applyAlignment="1" applyProtection="1">
      <alignment vertical="top"/>
      <protection hidden="1"/>
    </xf>
    <xf numFmtId="0" fontId="29" fillId="0" borderId="0" xfId="0" applyFont="1" applyAlignment="1" applyProtection="1">
      <alignment wrapText="1"/>
      <protection hidden="1"/>
    </xf>
    <xf numFmtId="0" fontId="43" fillId="0" borderId="0" xfId="0" applyFont="1" applyProtection="1">
      <protection hidden="1"/>
    </xf>
    <xf numFmtId="0" fontId="0" fillId="18" borderId="8" xfId="0" applyFill="1" applyBorder="1"/>
    <xf numFmtId="0" fontId="0" fillId="0" borderId="8" xfId="0" applyBorder="1"/>
    <xf numFmtId="0" fontId="0" fillId="18" borderId="9" xfId="0" applyFill="1" applyBorder="1"/>
    <xf numFmtId="0" fontId="0" fillId="0" borderId="9" xfId="0" applyBorder="1"/>
    <xf numFmtId="0" fontId="2" fillId="16" borderId="9" xfId="14" applyFont="1" applyBorder="1"/>
    <xf numFmtId="0" fontId="47" fillId="0" borderId="0" xfId="0" applyFont="1" applyProtection="1">
      <protection locked="0"/>
    </xf>
    <xf numFmtId="0" fontId="24" fillId="0" borderId="0" xfId="15" applyFont="1"/>
    <xf numFmtId="49" fontId="0" fillId="0" borderId="0" xfId="0" applyNumberFormat="1" applyProtection="1">
      <protection hidden="1"/>
    </xf>
    <xf numFmtId="49" fontId="3" fillId="7" borderId="0" xfId="5" applyNumberFormat="1" applyFill="1" applyProtection="1">
      <protection hidden="1"/>
    </xf>
    <xf numFmtId="49" fontId="3" fillId="7" borderId="0" xfId="6" applyNumberFormat="1" applyFill="1" applyProtection="1">
      <protection hidden="1"/>
    </xf>
    <xf numFmtId="49" fontId="3" fillId="7" borderId="0" xfId="7" applyNumberFormat="1" applyFill="1" applyProtection="1">
      <protection hidden="1"/>
    </xf>
    <xf numFmtId="49" fontId="3" fillId="7" borderId="0" xfId="4" applyNumberFormat="1" applyFill="1" applyProtection="1">
      <protection hidden="1"/>
    </xf>
    <xf numFmtId="49" fontId="0" fillId="7" borderId="0" xfId="0" applyNumberFormat="1" applyFill="1" applyProtection="1">
      <protection hidden="1"/>
    </xf>
    <xf numFmtId="49" fontId="14" fillId="19" borderId="1" xfId="16" applyNumberFormat="1" applyProtection="1">
      <protection hidden="1"/>
    </xf>
    <xf numFmtId="0" fontId="0" fillId="0" borderId="0" xfId="0" applyProtection="1">
      <protection locked="0" hidden="1"/>
    </xf>
    <xf numFmtId="0" fontId="24" fillId="0" borderId="0" xfId="0" applyFont="1" applyProtection="1">
      <protection locked="0" hidden="1"/>
    </xf>
    <xf numFmtId="0" fontId="3" fillId="33" borderId="0" xfId="32" applyProtection="1">
      <protection locked="0" hidden="1"/>
    </xf>
    <xf numFmtId="0" fontId="14" fillId="20" borderId="1" xfId="17" applyProtection="1">
      <protection locked="0" hidden="1"/>
    </xf>
    <xf numFmtId="0" fontId="3" fillId="32" borderId="24" xfId="31" applyBorder="1" applyProtection="1">
      <protection hidden="1"/>
    </xf>
    <xf numFmtId="0" fontId="29" fillId="7" borderId="21" xfId="0" applyFont="1" applyFill="1" applyBorder="1" applyProtection="1">
      <protection locked="0" hidden="1"/>
    </xf>
    <xf numFmtId="0" fontId="40" fillId="10" borderId="0" xfId="0" quotePrefix="1" applyFont="1" applyFill="1" applyAlignment="1" applyProtection="1">
      <alignment horizontal="left" vertical="top" wrapText="1"/>
      <protection hidden="1"/>
    </xf>
    <xf numFmtId="0" fontId="42" fillId="0" borderId="0" xfId="0" applyFont="1" applyProtection="1">
      <protection hidden="1"/>
    </xf>
    <xf numFmtId="0" fontId="40" fillId="10" borderId="0" xfId="0" applyFont="1" applyFill="1" applyAlignment="1" applyProtection="1">
      <alignment horizontal="center" wrapText="1"/>
      <protection locked="0" hidden="1"/>
    </xf>
    <xf numFmtId="0" fontId="40" fillId="10" borderId="0" xfId="1" applyFont="1" applyFill="1" applyBorder="1" applyAlignment="1" applyProtection="1">
      <alignment wrapText="1"/>
      <protection locked="0" hidden="1"/>
    </xf>
    <xf numFmtId="14" fontId="41" fillId="10" borderId="0" xfId="0" applyNumberFormat="1" applyFont="1" applyFill="1" applyAlignment="1" applyProtection="1">
      <alignment vertical="top"/>
      <protection locked="0" hidden="1"/>
    </xf>
    <xf numFmtId="0" fontId="42" fillId="0" borderId="0" xfId="0" applyFont="1" applyAlignment="1" applyProtection="1">
      <alignment horizontal="center"/>
      <protection hidden="1"/>
    </xf>
    <xf numFmtId="0" fontId="24" fillId="0" borderId="0" xfId="15" applyFont="1" applyProtection="1">
      <protection locked="0"/>
    </xf>
    <xf numFmtId="0" fontId="0" fillId="0" borderId="0" xfId="0" applyAlignment="1" applyProtection="1">
      <alignment horizontal="left"/>
      <protection locked="0"/>
    </xf>
    <xf numFmtId="0" fontId="38" fillId="0" borderId="0" xfId="0" applyFont="1" applyProtection="1">
      <protection locked="0" hidden="1"/>
    </xf>
    <xf numFmtId="0" fontId="0" fillId="0" borderId="0" xfId="0" applyProtection="1">
      <protection locked="0"/>
    </xf>
    <xf numFmtId="0" fontId="6" fillId="0" borderId="2" xfId="8" applyProtection="1">
      <protection locked="0" hidden="1"/>
    </xf>
    <xf numFmtId="168" fontId="28" fillId="0" borderId="0" xfId="0" applyNumberFormat="1" applyFont="1" applyProtection="1">
      <protection locked="0" hidden="1"/>
    </xf>
    <xf numFmtId="0" fontId="7" fillId="11" borderId="0" xfId="9" applyProtection="1">
      <protection locked="0" hidden="1"/>
    </xf>
    <xf numFmtId="0" fontId="3" fillId="14" borderId="0" xfId="12" applyProtection="1">
      <protection locked="0" hidden="1"/>
    </xf>
    <xf numFmtId="0" fontId="3" fillId="13" borderId="0" xfId="11" applyProtection="1">
      <protection locked="0" hidden="1"/>
    </xf>
    <xf numFmtId="0" fontId="3" fillId="12" borderId="0" xfId="10" applyProtection="1">
      <protection locked="0" hidden="1"/>
    </xf>
    <xf numFmtId="0" fontId="14" fillId="20" borderId="1" xfId="17" applyProtection="1">
      <protection locked="0"/>
    </xf>
    <xf numFmtId="0" fontId="14" fillId="19" borderId="1" xfId="16" applyProtection="1">
      <protection locked="0"/>
    </xf>
    <xf numFmtId="0" fontId="29" fillId="0" borderId="0" xfId="0" applyFont="1" applyProtection="1">
      <protection locked="0" hidden="1"/>
    </xf>
    <xf numFmtId="0" fontId="26" fillId="0" borderId="0" xfId="0" applyFont="1" applyProtection="1">
      <protection locked="0" hidden="1"/>
    </xf>
    <xf numFmtId="0" fontId="3" fillId="31" borderId="0" xfId="30" applyProtection="1">
      <protection locked="0" hidden="1"/>
    </xf>
    <xf numFmtId="0" fontId="14" fillId="20" borderId="1" xfId="17" applyAlignment="1" applyProtection="1">
      <alignment horizontal="center"/>
      <protection locked="0" hidden="1"/>
    </xf>
    <xf numFmtId="0" fontId="39" fillId="0" borderId="0" xfId="0" applyFont="1" applyProtection="1">
      <protection locked="0" hidden="1"/>
    </xf>
    <xf numFmtId="9" fontId="39" fillId="0" borderId="0" xfId="28" applyFont="1" applyProtection="1">
      <protection locked="0" hidden="1"/>
    </xf>
    <xf numFmtId="0" fontId="39" fillId="0" borderId="29" xfId="0" applyFont="1" applyBorder="1" applyProtection="1">
      <protection locked="0" hidden="1"/>
    </xf>
    <xf numFmtId="0" fontId="44" fillId="0" borderId="29" xfId="0" applyFont="1" applyBorder="1" applyProtection="1">
      <protection locked="0" hidden="1"/>
    </xf>
    <xf numFmtId="0" fontId="39" fillId="0" borderId="29" xfId="0" quotePrefix="1" applyFont="1" applyBorder="1" applyProtection="1">
      <protection locked="0" hidden="1"/>
    </xf>
    <xf numFmtId="0" fontId="39" fillId="0" borderId="25" xfId="0" applyFont="1" applyBorder="1" applyProtection="1">
      <protection locked="0" hidden="1"/>
    </xf>
    <xf numFmtId="0" fontId="7" fillId="16" borderId="0" xfId="14" applyProtection="1">
      <protection locked="0" hidden="1"/>
    </xf>
    <xf numFmtId="0" fontId="39" fillId="0" borderId="23" xfId="0" applyFont="1" applyBorder="1" applyAlignment="1" applyProtection="1">
      <alignment horizontal="center"/>
      <protection locked="0" hidden="1"/>
    </xf>
    <xf numFmtId="0" fontId="39" fillId="0" borderId="30" xfId="0" applyFont="1" applyBorder="1" applyProtection="1">
      <protection locked="0" hidden="1"/>
    </xf>
    <xf numFmtId="0" fontId="45" fillId="0" borderId="30" xfId="0" applyFont="1" applyBorder="1" applyProtection="1">
      <protection locked="0" hidden="1"/>
    </xf>
    <xf numFmtId="0" fontId="39" fillId="0" borderId="30" xfId="0" quotePrefix="1" applyFont="1" applyBorder="1" applyProtection="1">
      <protection locked="0" hidden="1"/>
    </xf>
    <xf numFmtId="0" fontId="46" fillId="0" borderId="16" xfId="0" applyFont="1" applyBorder="1" applyProtection="1">
      <protection locked="0" hidden="1"/>
    </xf>
    <xf numFmtId="0" fontId="39" fillId="0" borderId="0" xfId="0" applyFont="1" applyAlignment="1" applyProtection="1">
      <alignment horizontal="center"/>
      <protection locked="0" hidden="1"/>
    </xf>
    <xf numFmtId="166" fontId="0" fillId="0" borderId="0" xfId="0" applyNumberFormat="1" applyProtection="1">
      <protection locked="0" hidden="1"/>
    </xf>
    <xf numFmtId="0" fontId="0" fillId="0" borderId="30" xfId="0" applyBorder="1" applyProtection="1">
      <protection locked="0" hidden="1"/>
    </xf>
    <xf numFmtId="0" fontId="24" fillId="0" borderId="16" xfId="0" applyFont="1" applyBorder="1" applyProtection="1">
      <protection locked="0" hidden="1"/>
    </xf>
    <xf numFmtId="0" fontId="0" fillId="0" borderId="31" xfId="0" applyBorder="1" applyProtection="1">
      <protection locked="0" hidden="1"/>
    </xf>
    <xf numFmtId="0" fontId="39" fillId="0" borderId="31" xfId="0" quotePrefix="1" applyFont="1" applyBorder="1" applyProtection="1">
      <protection locked="0" hidden="1"/>
    </xf>
    <xf numFmtId="0" fontId="24" fillId="0" borderId="28" xfId="0" applyFont="1" applyBorder="1" applyProtection="1">
      <protection locked="0" hidden="1"/>
    </xf>
    <xf numFmtId="0" fontId="32" fillId="0" borderId="2" xfId="8" applyFont="1" applyProtection="1">
      <protection locked="0" hidden="1"/>
    </xf>
    <xf numFmtId="0" fontId="32" fillId="0" borderId="1" xfId="2" applyFont="1" applyAlignment="1" applyProtection="1">
      <alignment horizontal="center"/>
      <protection locked="0" hidden="1"/>
    </xf>
    <xf numFmtId="0" fontId="14" fillId="20" borderId="0" xfId="17" applyBorder="1" applyProtection="1">
      <protection locked="0"/>
    </xf>
    <xf numFmtId="0" fontId="7" fillId="21" borderId="0" xfId="18" applyProtection="1">
      <protection locked="0" hidden="1"/>
    </xf>
    <xf numFmtId="0" fontId="0" fillId="0" borderId="22" xfId="0" applyBorder="1" applyProtection="1">
      <protection locked="0" hidden="1"/>
    </xf>
    <xf numFmtId="0" fontId="4" fillId="0" borderId="1" xfId="2" applyProtection="1">
      <protection locked="0" hidden="1"/>
    </xf>
    <xf numFmtId="0" fontId="26" fillId="0" borderId="0" xfId="0" applyFont="1" applyProtection="1">
      <protection locked="0"/>
    </xf>
    <xf numFmtId="0" fontId="29" fillId="0" borderId="23" xfId="0" applyFont="1" applyBorder="1" applyProtection="1">
      <protection locked="0" hidden="1"/>
    </xf>
    <xf numFmtId="0" fontId="6" fillId="0" borderId="26" xfId="8" applyBorder="1" applyProtection="1">
      <protection locked="0" hidden="1"/>
    </xf>
    <xf numFmtId="0" fontId="30" fillId="20" borderId="1" xfId="17" applyFont="1" applyProtection="1">
      <protection locked="0" hidden="1"/>
    </xf>
    <xf numFmtId="0" fontId="21" fillId="0" borderId="0" xfId="0" applyFont="1" applyProtection="1">
      <protection locked="0" hidden="1"/>
    </xf>
    <xf numFmtId="0" fontId="39" fillId="0" borderId="22" xfId="0" applyFont="1" applyBorder="1" applyProtection="1">
      <protection locked="0" hidden="1"/>
    </xf>
    <xf numFmtId="0" fontId="33" fillId="22" borderId="0" xfId="19" applyFont="1" applyAlignment="1" applyProtection="1">
      <alignment horizontal="center"/>
      <protection locked="0" hidden="1"/>
    </xf>
    <xf numFmtId="0" fontId="30" fillId="22" borderId="0" xfId="19" applyFont="1" applyAlignment="1" applyProtection="1">
      <alignment horizontal="center"/>
      <protection locked="0" hidden="1"/>
    </xf>
    <xf numFmtId="0" fontId="30" fillId="22" borderId="0" xfId="19" quotePrefix="1" applyFont="1" applyAlignment="1" applyProtection="1">
      <alignment horizontal="right"/>
      <protection locked="0" hidden="1"/>
    </xf>
    <xf numFmtId="0" fontId="48" fillId="0" borderId="0" xfId="0" applyFont="1" applyProtection="1">
      <protection locked="0"/>
    </xf>
    <xf numFmtId="0" fontId="48" fillId="0" borderId="0" xfId="0" applyFont="1" applyProtection="1">
      <protection locked="0" hidden="1"/>
    </xf>
    <xf numFmtId="0" fontId="39" fillId="0" borderId="0" xfId="0" applyFont="1" applyProtection="1">
      <protection locked="0"/>
    </xf>
    <xf numFmtId="0" fontId="24" fillId="0" borderId="0" xfId="0" applyFont="1" applyProtection="1">
      <protection locked="0"/>
    </xf>
    <xf numFmtId="1" fontId="0" fillId="0" borderId="0" xfId="0" applyNumberFormat="1" applyProtection="1">
      <protection locked="0" hidden="1"/>
    </xf>
    <xf numFmtId="0" fontId="31" fillId="0" borderId="0" xfId="0" applyFont="1" applyProtection="1">
      <protection locked="0" hidden="1"/>
    </xf>
    <xf numFmtId="0" fontId="16" fillId="0" borderId="0" xfId="0" applyFont="1" applyProtection="1">
      <protection locked="0" hidden="1"/>
    </xf>
    <xf numFmtId="0" fontId="16" fillId="0" borderId="0" xfId="0" applyFont="1" applyAlignment="1" applyProtection="1">
      <alignment horizontal="center"/>
      <protection locked="0" hidden="1"/>
    </xf>
    <xf numFmtId="0" fontId="36" fillId="0" borderId="2" xfId="8" applyFont="1" applyAlignment="1" applyProtection="1">
      <alignment horizontal="center"/>
      <protection locked="0" hidden="1"/>
    </xf>
    <xf numFmtId="0" fontId="0" fillId="0" borderId="0" xfId="0" applyAlignment="1" applyProtection="1">
      <alignment wrapText="1"/>
      <protection locked="0" hidden="1"/>
    </xf>
    <xf numFmtId="0" fontId="35" fillId="0" borderId="0" xfId="0" applyFont="1" applyProtection="1">
      <protection locked="0" hidden="1"/>
    </xf>
    <xf numFmtId="166" fontId="35" fillId="0" borderId="0" xfId="0" applyNumberFormat="1" applyFont="1" applyProtection="1">
      <protection locked="0" hidden="1"/>
    </xf>
    <xf numFmtId="0" fontId="34" fillId="0" borderId="0" xfId="0" applyFont="1" applyProtection="1">
      <protection locked="0" hidden="1"/>
    </xf>
    <xf numFmtId="166" fontId="34" fillId="0" borderId="0" xfId="0" applyNumberFormat="1" applyFont="1" applyProtection="1">
      <protection locked="0" hidden="1"/>
    </xf>
    <xf numFmtId="166" fontId="0" fillId="0" borderId="0" xfId="0" applyNumberFormat="1" applyProtection="1">
      <protection locked="0"/>
    </xf>
    <xf numFmtId="167" fontId="0" fillId="0" borderId="0" xfId="0" applyNumberFormat="1" applyProtection="1">
      <protection locked="0"/>
    </xf>
    <xf numFmtId="0" fontId="0" fillId="7" borderId="0" xfId="0" applyFill="1" applyProtection="1">
      <protection locked="0"/>
    </xf>
    <xf numFmtId="0" fontId="3" fillId="7" borderId="0" xfId="5" applyFill="1" applyProtection="1">
      <protection locked="0"/>
    </xf>
    <xf numFmtId="166" fontId="3" fillId="7" borderId="0" xfId="5" applyNumberFormat="1" applyFill="1" applyProtection="1">
      <protection locked="0"/>
    </xf>
    <xf numFmtId="0" fontId="3" fillId="15" borderId="0" xfId="13" applyProtection="1">
      <protection locked="0"/>
    </xf>
    <xf numFmtId="0" fontId="7" fillId="21" borderId="0" xfId="18" applyProtection="1">
      <protection locked="0"/>
    </xf>
    <xf numFmtId="0" fontId="0" fillId="0" borderId="22" xfId="0" applyBorder="1" applyProtection="1">
      <protection locked="0"/>
    </xf>
    <xf numFmtId="0" fontId="3" fillId="7" borderId="0" xfId="6" applyFill="1" applyProtection="1">
      <protection locked="0"/>
    </xf>
    <xf numFmtId="0" fontId="3" fillId="7" borderId="0" xfId="7" applyFill="1" applyProtection="1">
      <protection locked="0"/>
    </xf>
    <xf numFmtId="0" fontId="3" fillId="7" borderId="0" xfId="4" applyFill="1" applyProtection="1">
      <protection locked="0"/>
    </xf>
    <xf numFmtId="0" fontId="5" fillId="7" borderId="0" xfId="3" applyFill="1" applyProtection="1">
      <protection locked="0"/>
    </xf>
    <xf numFmtId="166" fontId="14" fillId="19" borderId="1" xfId="16" applyNumberFormat="1" applyProtection="1">
      <protection locked="0"/>
    </xf>
    <xf numFmtId="0" fontId="29" fillId="7" borderId="0" xfId="0" applyFont="1" applyFill="1" applyProtection="1">
      <protection locked="0" hidden="1"/>
    </xf>
    <xf numFmtId="0" fontId="24" fillId="0" borderId="0" xfId="15" applyFont="1" applyProtection="1">
      <protection locked="0" hidden="1"/>
    </xf>
    <xf numFmtId="0" fontId="3" fillId="22" borderId="0" xfId="19"/>
    <xf numFmtId="0" fontId="7" fillId="11" borderId="2" xfId="9" applyBorder="1"/>
    <xf numFmtId="0" fontId="22" fillId="0" borderId="0" xfId="15" applyFont="1"/>
    <xf numFmtId="168" fontId="53" fillId="0" borderId="0" xfId="0" applyNumberFormat="1" applyFont="1" applyProtection="1">
      <protection locked="0" hidden="1"/>
    </xf>
    <xf numFmtId="0" fontId="22" fillId="0" borderId="0" xfId="15" applyFont="1" applyProtection="1">
      <protection hidden="1"/>
    </xf>
    <xf numFmtId="166" fontId="22" fillId="0" borderId="0" xfId="15" applyNumberFormat="1" applyFont="1" applyProtection="1">
      <protection locked="0"/>
    </xf>
    <xf numFmtId="0" fontId="24" fillId="0" borderId="0" xfId="15" applyFont="1" applyProtection="1">
      <protection hidden="1"/>
    </xf>
    <xf numFmtId="0" fontId="0" fillId="0" borderId="11" xfId="0" applyBorder="1" applyProtection="1">
      <protection hidden="1"/>
    </xf>
    <xf numFmtId="0" fontId="0" fillId="0" borderId="16" xfId="0" applyBorder="1" applyProtection="1">
      <protection hidden="1"/>
    </xf>
    <xf numFmtId="0" fontId="50" fillId="27" borderId="0" xfId="25" applyFont="1" applyProtection="1">
      <protection hidden="1"/>
    </xf>
    <xf numFmtId="0" fontId="2" fillId="14" borderId="22" xfId="12" applyFont="1" applyBorder="1" applyProtection="1">
      <protection hidden="1"/>
    </xf>
    <xf numFmtId="0" fontId="50" fillId="0" borderId="0" xfId="0" applyFont="1" applyProtection="1">
      <protection hidden="1"/>
    </xf>
    <xf numFmtId="0" fontId="3" fillId="3" borderId="22" xfId="4" applyBorder="1" applyProtection="1">
      <protection hidden="1"/>
    </xf>
    <xf numFmtId="0" fontId="3" fillId="39" borderId="22" xfId="38" applyBorder="1" applyProtection="1">
      <protection hidden="1"/>
    </xf>
    <xf numFmtId="0" fontId="7" fillId="24" borderId="22" xfId="22" applyBorder="1" applyProtection="1">
      <protection hidden="1"/>
    </xf>
    <xf numFmtId="0" fontId="2" fillId="6" borderId="22" xfId="7" applyFont="1" applyBorder="1" applyProtection="1">
      <protection hidden="1"/>
    </xf>
    <xf numFmtId="0" fontId="15" fillId="35" borderId="22" xfId="34" applyFont="1" applyBorder="1" applyProtection="1">
      <protection hidden="1"/>
    </xf>
    <xf numFmtId="0" fontId="3" fillId="36" borderId="22" xfId="35" applyBorder="1" applyProtection="1">
      <protection hidden="1"/>
    </xf>
    <xf numFmtId="0" fontId="3" fillId="37" borderId="33" xfId="36" applyBorder="1" applyProtection="1">
      <protection hidden="1"/>
    </xf>
    <xf numFmtId="0" fontId="35" fillId="0" borderId="0" xfId="0" applyFont="1" applyProtection="1">
      <protection hidden="1"/>
    </xf>
    <xf numFmtId="0" fontId="3" fillId="29" borderId="22" xfId="27" applyBorder="1" applyProtection="1">
      <protection hidden="1"/>
    </xf>
    <xf numFmtId="0" fontId="3" fillId="28" borderId="22" xfId="26" applyBorder="1" applyProtection="1">
      <protection hidden="1"/>
    </xf>
    <xf numFmtId="0" fontId="3" fillId="27" borderId="22" xfId="25" applyBorder="1" applyProtection="1">
      <protection hidden="1"/>
    </xf>
    <xf numFmtId="0" fontId="2" fillId="4" borderId="0" xfId="5" applyFont="1" applyProtection="1">
      <protection hidden="1"/>
    </xf>
    <xf numFmtId="0" fontId="52" fillId="0" borderId="1" xfId="2" applyFont="1" applyProtection="1">
      <protection hidden="1"/>
    </xf>
    <xf numFmtId="0" fontId="0" fillId="0" borderId="36" xfId="0" applyBorder="1" applyProtection="1">
      <protection hidden="1"/>
    </xf>
    <xf numFmtId="0" fontId="0" fillId="0" borderId="34" xfId="0" applyBorder="1" applyProtection="1">
      <protection hidden="1"/>
    </xf>
    <xf numFmtId="0" fontId="0" fillId="0" borderId="35" xfId="0" applyBorder="1" applyProtection="1">
      <protection hidden="1"/>
    </xf>
    <xf numFmtId="0" fontId="49" fillId="34" borderId="22" xfId="33" applyBorder="1" applyProtection="1">
      <protection locked="0" hidden="1"/>
    </xf>
    <xf numFmtId="0" fontId="24" fillId="15" borderId="22" xfId="13" applyFont="1" applyBorder="1" applyProtection="1">
      <protection locked="0" hidden="1"/>
    </xf>
    <xf numFmtId="0" fontId="51" fillId="34" borderId="22" xfId="33" applyFont="1" applyBorder="1" applyAlignment="1" applyProtection="1">
      <alignment horizontal="right"/>
      <protection locked="0" hidden="1"/>
    </xf>
    <xf numFmtId="49" fontId="29" fillId="7" borderId="0" xfId="0" applyNumberFormat="1" applyFont="1" applyFill="1" applyProtection="1">
      <protection locked="0" hidden="1"/>
    </xf>
    <xf numFmtId="164" fontId="29" fillId="7" borderId="0" xfId="0" applyNumberFormat="1" applyFont="1" applyFill="1" applyProtection="1">
      <protection locked="0" hidden="1"/>
    </xf>
    <xf numFmtId="165" fontId="29" fillId="7" borderId="0" xfId="0" applyNumberFormat="1" applyFont="1" applyFill="1" applyProtection="1">
      <protection locked="0" hidden="1"/>
    </xf>
    <xf numFmtId="14" fontId="29" fillId="7" borderId="0" xfId="0" applyNumberFormat="1" applyFont="1" applyFill="1" applyProtection="1">
      <protection locked="0" hidden="1"/>
    </xf>
    <xf numFmtId="0" fontId="0" fillId="38" borderId="22" xfId="37" quotePrefix="1" applyFont="1" applyBorder="1" applyAlignment="1" applyProtection="1">
      <alignment wrapText="1"/>
      <protection hidden="1"/>
    </xf>
    <xf numFmtId="0" fontId="8" fillId="7" borderId="0" xfId="15" applyFill="1" applyProtection="1">
      <protection locked="0" hidden="1"/>
    </xf>
    <xf numFmtId="0" fontId="3" fillId="33" borderId="0" xfId="32" applyAlignment="1" applyProtection="1">
      <alignment horizontal="center"/>
      <protection locked="0" hidden="1"/>
    </xf>
    <xf numFmtId="165" fontId="29" fillId="7" borderId="0" xfId="0" applyNumberFormat="1" applyFont="1" applyFill="1" applyAlignment="1" applyProtection="1">
      <alignment wrapText="1"/>
      <protection locked="0" hidden="1"/>
    </xf>
    <xf numFmtId="2" fontId="29" fillId="7" borderId="0" xfId="0" applyNumberFormat="1" applyFont="1" applyFill="1" applyProtection="1">
      <protection locked="0" hidden="1"/>
    </xf>
    <xf numFmtId="0" fontId="29" fillId="7" borderId="0" xfId="13" applyNumberFormat="1" applyFont="1" applyFill="1" applyProtection="1">
      <protection locked="0" hidden="1"/>
    </xf>
    <xf numFmtId="0" fontId="14" fillId="20" borderId="1" xfId="17" quotePrefix="1" applyAlignment="1" applyProtection="1">
      <alignment horizontal="center"/>
      <protection locked="0" hidden="1"/>
    </xf>
    <xf numFmtId="0" fontId="3" fillId="33" borderId="0" xfId="32" quotePrefix="1" applyAlignment="1" applyProtection="1">
      <alignment wrapText="1"/>
      <protection locked="0" hidden="1"/>
    </xf>
    <xf numFmtId="165" fontId="54" fillId="7" borderId="0" xfId="0" quotePrefix="1" applyNumberFormat="1" applyFont="1" applyFill="1" applyAlignment="1" applyProtection="1">
      <alignment horizontal="center" wrapText="1"/>
      <protection locked="0" hidden="1"/>
    </xf>
    <xf numFmtId="0" fontId="29" fillId="7" borderId="0" xfId="0" applyNumberFormat="1" applyFont="1" applyFill="1" applyProtection="1">
      <protection hidden="1"/>
    </xf>
    <xf numFmtId="0" fontId="3" fillId="13" borderId="0" xfId="11" applyProtection="1">
      <protection locked="0"/>
    </xf>
    <xf numFmtId="0" fontId="3" fillId="14" borderId="0" xfId="12" applyProtection="1">
      <protection locked="0"/>
    </xf>
    <xf numFmtId="0" fontId="7" fillId="11" borderId="0" xfId="9" applyProtection="1">
      <protection locked="0"/>
    </xf>
    <xf numFmtId="0" fontId="3" fillId="30" borderId="0" xfId="29" applyProtection="1">
      <protection locked="0"/>
    </xf>
    <xf numFmtId="0" fontId="3" fillId="25" borderId="0" xfId="23" applyProtection="1">
      <protection locked="0"/>
    </xf>
    <xf numFmtId="0" fontId="3" fillId="12" borderId="0" xfId="10" applyProtection="1">
      <protection locked="0"/>
    </xf>
    <xf numFmtId="0" fontId="3" fillId="31" borderId="0" xfId="30" applyProtection="1">
      <protection locked="0"/>
    </xf>
    <xf numFmtId="0" fontId="7" fillId="16" borderId="0" xfId="14" applyProtection="1">
      <protection locked="0"/>
    </xf>
    <xf numFmtId="0" fontId="2" fillId="0" borderId="0" xfId="0" applyFont="1"/>
    <xf numFmtId="0" fontId="2" fillId="0" borderId="0" xfId="15" applyFont="1"/>
    <xf numFmtId="0" fontId="7" fillId="0" borderId="0" xfId="0" applyFont="1"/>
    <xf numFmtId="0" fontId="3" fillId="32" borderId="0" xfId="31" applyProtection="1">
      <protection locked="0" hidden="1"/>
    </xf>
    <xf numFmtId="0" fontId="3" fillId="27" borderId="0" xfId="25" applyProtection="1">
      <protection locked="0" hidden="1"/>
    </xf>
    <xf numFmtId="0" fontId="50" fillId="15" borderId="0" xfId="13" applyFont="1" applyProtection="1">
      <protection hidden="1"/>
    </xf>
    <xf numFmtId="0" fontId="50" fillId="12" borderId="0" xfId="10" applyFont="1" applyProtection="1">
      <protection hidden="1"/>
    </xf>
    <xf numFmtId="0" fontId="0" fillId="0" borderId="0" xfId="0" applyProtection="1">
      <protection hidden="1"/>
    </xf>
    <xf numFmtId="0" fontId="50" fillId="27" borderId="0" xfId="25" applyFont="1" applyProtection="1">
      <protection hidden="1"/>
    </xf>
    <xf numFmtId="0" fontId="14" fillId="20" borderId="1" xfId="17" applyProtection="1">
      <protection locked="0" hidden="1"/>
    </xf>
    <xf numFmtId="0" fontId="14" fillId="20" borderId="0" xfId="17" applyBorder="1" applyAlignment="1" applyProtection="1">
      <alignment horizontal="left"/>
      <protection locked="0" hidden="1"/>
    </xf>
    <xf numFmtId="0" fontId="23" fillId="0" borderId="12" xfId="20" applyBorder="1" applyAlignment="1">
      <alignment horizontal="left"/>
    </xf>
    <xf numFmtId="0" fontId="23" fillId="0" borderId="13" xfId="20" applyBorder="1" applyAlignment="1">
      <alignment horizontal="left"/>
    </xf>
    <xf numFmtId="0" fontId="23" fillId="0" borderId="11" xfId="20" applyBorder="1" applyAlignment="1">
      <alignment horizontal="center"/>
    </xf>
    <xf numFmtId="0" fontId="23" fillId="0" borderId="0" xfId="20" applyBorder="1" applyAlignment="1">
      <alignment horizontal="center"/>
    </xf>
  </cellXfs>
  <cellStyles count="39">
    <cellStyle name="20% - Accent1" xfId="10" builtinId="30"/>
    <cellStyle name="20% - Accent2" xfId="34" builtinId="34"/>
    <cellStyle name="20% - Accent3" xfId="13" builtinId="38"/>
    <cellStyle name="20% - Accent4" xfId="37" builtinId="42"/>
    <cellStyle name="20% - Accent5" xfId="23" builtinId="46"/>
    <cellStyle name="20% - Accent6" xfId="25" builtinId="50"/>
    <cellStyle name="40% - Accent1" xfId="11" builtinId="31"/>
    <cellStyle name="40% - Accent2" xfId="35" builtinId="35"/>
    <cellStyle name="40% - Accent3" xfId="31" builtinId="39"/>
    <cellStyle name="40% - Accent4" xfId="4" builtinId="43"/>
    <cellStyle name="40% - Accent5" xfId="29" builtinId="47"/>
    <cellStyle name="40% - Accent6" xfId="26" builtinId="51"/>
    <cellStyle name="60% - Accent1" xfId="12" builtinId="32"/>
    <cellStyle name="60% - Accent2" xfId="36" builtinId="36"/>
    <cellStyle name="60% - Accent3" xfId="32" builtinId="40"/>
    <cellStyle name="60% - Accent4" xfId="38" builtinId="44"/>
    <cellStyle name="60% - Accent5" xfId="30" builtinId="48"/>
    <cellStyle name="60% - Accent6" xfId="27" builtinId="52"/>
    <cellStyle name="Accent1" xfId="9" builtinId="29"/>
    <cellStyle name="Accent3" xfId="21" builtinId="37"/>
    <cellStyle name="Accent4" xfId="22" builtinId="41"/>
    <cellStyle name="Accent5" xfId="14" builtinId="45"/>
    <cellStyle name="Accent6" xfId="24" builtinId="49"/>
    <cellStyle name="Heading 1" xfId="8" builtinId="16"/>
    <cellStyle name="Heading 2" xfId="2" builtinId="17"/>
    <cellStyle name="Heading 3" xfId="20" builtinId="18"/>
    <cellStyle name="Hyperlink" xfId="15" builtinId="8"/>
    <cellStyle name="Neutral" xfId="3" builtinId="28"/>
    <cellStyle name="Normal" xfId="0" builtinId="0"/>
    <cellStyle name="Output" xfId="33" builtinId="21"/>
    <cellStyle name="Percent" xfId="28" builtinId="5"/>
    <cellStyle name="Style 1" xfId="5" xr:uid="{49297FF7-CD33-4B55-8CE6-280BDF7A0315}"/>
    <cellStyle name="Style 1 2" xfId="16" xr:uid="{54629F5D-D227-4061-9562-7B720D132360}"/>
    <cellStyle name="Style 2" xfId="6" xr:uid="{4C78A312-0893-4896-8CCF-EBE460C77CE7}"/>
    <cellStyle name="Style 3" xfId="7" xr:uid="{8F70806A-E29D-4552-AFC4-FE42BB86A48A}"/>
    <cellStyle name="Style 4" xfId="17" xr:uid="{3E849632-D248-40D8-9D78-B0B78064D239}"/>
    <cellStyle name="Style 5" xfId="18" xr:uid="{6D90F52D-1D46-40A2-99E8-D572604611B0}"/>
    <cellStyle name="Style 6" xfId="19" xr:uid="{249EDDB6-4D79-49BD-B9E4-AD76015D4C1F}"/>
    <cellStyle name="Title" xfId="1" builtinId="15"/>
  </cellStyles>
  <dxfs count="100">
    <dxf>
      <fill>
        <patternFill>
          <bgColor theme="9" tint="0.59996337778862885"/>
        </patternFill>
      </fill>
    </dxf>
    <dxf>
      <fill>
        <patternFill>
          <bgColor theme="9" tint="0.39994506668294322"/>
        </patternFill>
      </fill>
    </dxf>
    <dxf>
      <fill>
        <patternFill>
          <bgColor theme="6"/>
        </patternFill>
      </fill>
    </dxf>
    <dxf>
      <font>
        <b/>
        <i val="0"/>
        <color theme="0"/>
      </font>
      <fill>
        <patternFill>
          <bgColor rgb="FF00B0F0"/>
        </patternFill>
      </fill>
    </dxf>
    <dxf>
      <font>
        <b/>
        <i val="0"/>
        <color theme="0"/>
      </font>
      <fill>
        <patternFill>
          <bgColor rgb="FF00B0F0"/>
        </patternFill>
      </fill>
    </dxf>
    <dxf>
      <font>
        <strike val="0"/>
        <outline val="0"/>
        <shadow val="0"/>
        <u val="none"/>
        <vertAlign val="baseline"/>
        <sz val="14"/>
        <color theme="1"/>
        <name val="Calibri"/>
        <family val="2"/>
        <scheme val="minor"/>
      </font>
      <numFmt numFmtId="167" formatCode="[$]dddd\,\ d\ mmmm\ yyyy;@" x16r2:formatCode16="[$-en-NG,1]dddd\,\ d\ mmmm\ yyyy;@"/>
      <fill>
        <patternFill patternType="solid">
          <fgColor indexed="64"/>
          <bgColor rgb="FFF4F7F6"/>
        </patternFill>
      </fill>
      <protection locked="0" hidden="0"/>
    </dxf>
    <dxf>
      <font>
        <strike val="0"/>
        <outline val="0"/>
        <shadow val="0"/>
        <u val="none"/>
        <vertAlign val="baseline"/>
        <sz val="14"/>
        <color theme="1"/>
        <name val="Calibri"/>
        <family val="2"/>
        <scheme val="minor"/>
      </font>
      <numFmt numFmtId="166" formatCode="[$-F800]dddd\,\ mmmm\ dd\,\ yyyy"/>
      <fill>
        <patternFill patternType="solid">
          <fgColor indexed="64"/>
          <bgColor rgb="FFF4F7F6"/>
        </patternFill>
      </fill>
      <protection locked="0" hidden="0"/>
    </dxf>
    <dxf>
      <font>
        <strike val="0"/>
        <outline val="0"/>
        <shadow val="0"/>
        <u val="none"/>
        <vertAlign val="baseline"/>
        <sz val="14"/>
        <color theme="1"/>
        <name val="Calibri"/>
        <family val="2"/>
        <scheme val="minor"/>
      </font>
      <numFmt numFmtId="166" formatCode="[$-F800]dddd\,\ mmmm\ dd\,\ yyyy"/>
      <fill>
        <patternFill patternType="solid">
          <fgColor indexed="64"/>
          <bgColor rgb="FFF4F7F6"/>
        </patternFill>
      </fill>
      <protection locked="0" hidden="0"/>
    </dxf>
    <dxf>
      <font>
        <strike val="0"/>
        <outline val="0"/>
        <shadow val="0"/>
        <u val="none"/>
        <vertAlign val="baseline"/>
        <sz val="14"/>
        <color theme="1"/>
        <name val="Calibri"/>
        <family val="2"/>
        <scheme val="minor"/>
      </font>
      <fill>
        <patternFill patternType="solid">
          <fgColor indexed="64"/>
          <bgColor rgb="FFF4F7F6"/>
        </patternFill>
      </fill>
      <protection locked="0" hidden="0"/>
    </dxf>
    <dxf>
      <font>
        <strike val="0"/>
        <outline val="0"/>
        <shadow val="0"/>
        <u val="none"/>
        <vertAlign val="baseline"/>
        <sz val="14"/>
        <color theme="1"/>
        <name val="Calibri"/>
        <family val="2"/>
        <scheme val="minor"/>
      </font>
      <numFmt numFmtId="2" formatCode="0.00"/>
      <fill>
        <patternFill patternType="solid">
          <fgColor indexed="64"/>
          <bgColor rgb="FFF4F7F6"/>
        </patternFill>
      </fill>
      <protection locked="0" hidden="0"/>
    </dxf>
    <dxf>
      <font>
        <strike val="0"/>
        <outline val="0"/>
        <shadow val="0"/>
        <u val="none"/>
        <vertAlign val="baseline"/>
        <sz val="14"/>
        <color theme="1"/>
        <name val="Calibri"/>
        <family val="2"/>
        <scheme val="minor"/>
      </font>
      <fill>
        <patternFill patternType="solid">
          <fgColor indexed="64"/>
          <bgColor rgb="FFF4F7F6"/>
        </patternFill>
      </fill>
      <protection locked="0" hidden="0"/>
    </dxf>
    <dxf>
      <font>
        <strike val="0"/>
        <outline val="0"/>
        <shadow val="0"/>
        <u val="none"/>
        <vertAlign val="baseline"/>
        <sz val="14"/>
        <color theme="1"/>
        <name val="Calibri"/>
        <family val="2"/>
        <scheme val="minor"/>
      </font>
      <numFmt numFmtId="166" formatCode="[$-F800]dddd\,\ mmmm\ dd\,\ yyyy"/>
      <fill>
        <patternFill patternType="solid">
          <fgColor indexed="64"/>
          <bgColor rgb="FFF4F7F6"/>
        </patternFill>
      </fill>
      <protection locked="0" hidden="0"/>
    </dxf>
    <dxf>
      <font>
        <strike val="0"/>
        <outline val="0"/>
        <shadow val="0"/>
        <u val="none"/>
        <vertAlign val="baseline"/>
        <sz val="14"/>
        <color theme="1"/>
        <name val="Calibri"/>
        <family val="2"/>
        <scheme val="minor"/>
      </font>
      <numFmt numFmtId="0" formatCode="General"/>
      <fill>
        <patternFill patternType="solid">
          <fgColor indexed="64"/>
          <bgColor rgb="FFF4F7F6"/>
        </patternFill>
      </fill>
      <protection locked="1" hidden="1"/>
    </dxf>
    <dxf>
      <font>
        <strike val="0"/>
        <outline val="0"/>
        <shadow val="0"/>
        <u val="none"/>
        <vertAlign val="baseline"/>
        <sz val="14"/>
        <color theme="1"/>
        <name val="Calibri"/>
        <family val="2"/>
        <scheme val="minor"/>
      </font>
      <numFmt numFmtId="0" formatCode="General"/>
      <fill>
        <patternFill patternType="solid">
          <fgColor indexed="64"/>
          <bgColor rgb="FFF4F7F6"/>
        </patternFill>
      </fill>
      <protection locked="1" hidden="1"/>
    </dxf>
    <dxf>
      <font>
        <strike val="0"/>
        <outline val="0"/>
        <shadow val="0"/>
        <u val="none"/>
        <vertAlign val="baseline"/>
        <sz val="14"/>
        <color theme="1"/>
        <name val="Calibri"/>
        <family val="2"/>
        <scheme val="minor"/>
      </font>
      <fill>
        <patternFill patternType="solid">
          <fgColor indexed="64"/>
          <bgColor rgb="FFF4F7F6"/>
        </patternFill>
      </fill>
      <protection locked="1" hidden="1"/>
    </dxf>
    <dxf>
      <font>
        <strike val="0"/>
        <outline val="0"/>
        <shadow val="0"/>
        <u val="none"/>
        <vertAlign val="baseline"/>
        <sz val="14"/>
        <color theme="1"/>
        <name val="Calibri"/>
        <family val="2"/>
        <scheme val="minor"/>
      </font>
      <fill>
        <patternFill patternType="solid">
          <fgColor indexed="64"/>
          <bgColor rgb="FFF4F7F6"/>
        </patternFill>
      </fill>
      <protection locked="1" hidden="1"/>
    </dxf>
    <dxf>
      <font>
        <strike val="0"/>
        <outline val="0"/>
        <shadow val="0"/>
        <u val="none"/>
        <vertAlign val="baseline"/>
        <sz val="14"/>
        <color theme="1"/>
        <name val="Calibri"/>
        <family val="2"/>
        <scheme val="minor"/>
      </font>
      <numFmt numFmtId="0" formatCode="General"/>
      <fill>
        <patternFill patternType="solid">
          <fgColor indexed="64"/>
          <bgColor rgb="FFF4F7F6"/>
        </patternFill>
      </fill>
      <protection locked="1" hidden="1"/>
    </dxf>
    <dxf>
      <font>
        <strike val="0"/>
        <outline val="0"/>
        <shadow val="0"/>
        <u val="none"/>
        <vertAlign val="baseline"/>
        <sz val="14"/>
        <color theme="1"/>
        <name val="Calibri"/>
        <family val="2"/>
        <scheme val="minor"/>
      </font>
      <fill>
        <patternFill patternType="solid">
          <fgColor indexed="64"/>
          <bgColor rgb="FFF4F7F6"/>
        </patternFill>
      </fill>
      <protection locked="0" hidden="0"/>
    </dxf>
    <dxf>
      <font>
        <strike val="0"/>
        <outline val="0"/>
        <shadow val="0"/>
        <u val="none"/>
        <vertAlign val="baseline"/>
        <sz val="14"/>
        <color theme="1"/>
        <name val="Calibri"/>
        <family val="2"/>
        <scheme val="minor"/>
      </font>
      <fill>
        <patternFill patternType="solid">
          <fgColor indexed="64"/>
          <bgColor rgb="FFF4F7F6"/>
        </patternFill>
      </fill>
      <protection locked="1" hidden="1"/>
    </dxf>
    <dxf>
      <font>
        <strike val="0"/>
        <outline val="0"/>
        <shadow val="0"/>
        <u val="none"/>
        <vertAlign val="baseline"/>
        <sz val="14"/>
        <color theme="1"/>
        <name val="Calibri"/>
        <family val="2"/>
        <scheme val="minor"/>
      </font>
      <fill>
        <patternFill patternType="solid">
          <fgColor indexed="64"/>
          <bgColor rgb="FFF4F7F6"/>
        </patternFill>
      </fill>
      <protection locked="0"/>
    </dxf>
    <dxf>
      <protection locked="0"/>
    </dxf>
    <dxf>
      <fill>
        <patternFill patternType="solid">
          <fgColor indexed="64"/>
          <bgColor rgb="FFF4F7F6"/>
        </patternFill>
      </fill>
    </dxf>
    <dxf>
      <font>
        <strike val="0"/>
        <outline val="0"/>
        <shadow val="0"/>
        <vertAlign val="baseline"/>
        <sz val="14"/>
        <name val="Calibri"/>
        <family val="2"/>
        <scheme val="minor"/>
      </font>
      <numFmt numFmtId="0" formatCode="General"/>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numFmt numFmtId="2" formatCode="0.00"/>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numFmt numFmtId="165" formatCode="0.0"/>
      <fill>
        <patternFill patternType="solid">
          <fgColor indexed="64"/>
          <bgColor rgb="FFF4F7F6"/>
        </patternFill>
      </fill>
    </dxf>
    <dxf>
      <font>
        <b val="0"/>
        <i val="0"/>
        <strike val="0"/>
        <condense val="0"/>
        <extend val="0"/>
        <outline val="0"/>
        <shadow val="0"/>
        <u val="none"/>
        <vertAlign val="baseline"/>
        <sz val="14"/>
        <color theme="1"/>
        <name val="Calibri"/>
        <family val="2"/>
        <scheme val="minor"/>
      </font>
      <numFmt numFmtId="165" formatCode="0.0"/>
      <fill>
        <patternFill patternType="solid">
          <fgColor indexed="64"/>
          <bgColor rgb="FFF4F7F6"/>
        </patternFill>
      </fill>
      <alignment horizontal="general" vertical="bottom" textRotation="0" wrapText="1" indent="0" justifyLastLine="0" shrinkToFit="0" readingOrder="0"/>
      <protection locked="0" hidden="1"/>
    </dxf>
    <dxf>
      <numFmt numFmtId="165" formatCode="0.0"/>
      <fill>
        <patternFill patternType="solid">
          <fgColor indexed="64"/>
          <bgColor rgb="FFF4F7F6"/>
        </patternFill>
      </fill>
    </dxf>
    <dxf>
      <font>
        <strike val="0"/>
        <outline val="0"/>
        <shadow val="0"/>
        <vertAlign val="baseline"/>
        <sz val="14"/>
        <name val="Calibri"/>
        <family val="2"/>
        <scheme val="minor"/>
      </font>
      <numFmt numFmtId="165" formatCode="0.0"/>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0"/>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numFmt numFmtId="164" formatCode="yyyy\-mm\-dd;@"/>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numFmt numFmtId="164" formatCode="yyyy\-mm\-dd;@"/>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numFmt numFmtId="164" formatCode="yyyy\-mm\-dd;@"/>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numFmt numFmtId="30" formatCode="@"/>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fill>
        <patternFill patternType="solid">
          <fgColor indexed="64"/>
          <bgColor rgb="FFF4F7F6"/>
        </patternFill>
      </fill>
    </dxf>
    <dxf>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numFmt numFmtId="30" formatCode="@"/>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fill>
        <patternFill patternType="solid">
          <fgColor indexed="64"/>
          <bgColor rgb="FFF4F7F6"/>
        </patternFill>
      </fill>
    </dxf>
    <dxf>
      <font>
        <strike val="0"/>
        <outline val="0"/>
        <shadow val="0"/>
        <vertAlign val="baseline"/>
        <sz val="14"/>
        <name val="Calibri"/>
        <family val="2"/>
        <scheme val="minor"/>
      </font>
      <fill>
        <patternFill patternType="solid">
          <fgColor indexed="64"/>
          <bgColor rgb="FFF4F7F6"/>
        </patternFill>
      </fill>
      <protection locked="0" hidden="1"/>
    </dxf>
    <dxf>
      <fill>
        <patternFill patternType="solid">
          <fgColor indexed="64"/>
          <bgColor rgb="FFF4F7F6"/>
        </patternFill>
      </fill>
    </dxf>
    <dxf>
      <fill>
        <patternFill patternType="solid">
          <fgColor indexed="64"/>
          <bgColor rgb="FFF4F7F6"/>
        </patternFill>
      </fill>
      <protection locked="0" hidden="1"/>
    </dxf>
    <dxf>
      <fill>
        <patternFill patternType="solid">
          <fgColor indexed="64"/>
          <bgColor rgb="FFF4F7F6"/>
        </patternFill>
      </fill>
      <protection hidden="1"/>
    </dxf>
    <dxf>
      <protection hidden="1"/>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border outline="0">
        <left style="thin">
          <color indexed="64"/>
        </left>
      </border>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alignment horizontal="right" vertical="bottom" textRotation="0" wrapText="0" indent="0" justifyLastLine="0" shrinkToFit="0" readingOrder="0"/>
    </dxf>
    <dxf>
      <border outline="0">
        <left style="thin">
          <color indexed="64"/>
        </left>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left style="thin">
          <color indexed="64"/>
        </left>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border outline="0">
        <left style="thin">
          <color indexed="64"/>
        </left>
      </border>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alignment horizontal="right" vertical="bottom" textRotation="0" wrapText="0" indent="0" justifyLastLine="0" shrinkToFit="0" readingOrder="0"/>
    </dxf>
    <dxf>
      <border outline="0">
        <right style="thin">
          <color indexed="64"/>
        </right>
        <bottom style="thin">
          <color indexed="64"/>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indexed="64"/>
        </left>
        <right style="thin">
          <color theme="4" tint="0.39997558519241921"/>
        </right>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strike val="0"/>
        <outline val="0"/>
        <shadow val="0"/>
        <u val="none"/>
        <vertAlign val="baseline"/>
        <sz val="14"/>
        <color theme="1"/>
        <name val="Calibri"/>
        <family val="2"/>
        <scheme val="minor"/>
      </font>
      <numFmt numFmtId="13" formatCode="0%"/>
      <protection locked="0" hidden="1"/>
    </dxf>
    <dxf>
      <font>
        <b/>
        <strike val="0"/>
        <outline val="0"/>
        <shadow val="0"/>
        <u val="none"/>
        <vertAlign val="baseline"/>
        <sz val="14"/>
        <color theme="1"/>
        <name val="Calibri"/>
        <family val="2"/>
        <scheme val="minor"/>
      </font>
      <protection locked="0" hidden="1"/>
    </dxf>
    <dxf>
      <font>
        <b/>
        <strike val="0"/>
        <outline val="0"/>
        <shadow val="0"/>
        <u val="none"/>
        <vertAlign val="baseline"/>
        <sz val="14"/>
        <color theme="1"/>
        <name val="Calibri"/>
        <family val="2"/>
        <scheme val="minor"/>
      </font>
      <protection locked="0" hidden="1"/>
    </dxf>
    <dxf>
      <font>
        <b/>
        <strike val="0"/>
        <outline val="0"/>
        <shadow val="0"/>
        <u val="none"/>
        <vertAlign val="baseline"/>
        <sz val="14"/>
        <color theme="1"/>
        <name val="Calibri"/>
        <family val="2"/>
        <scheme val="minor"/>
      </font>
      <protection locked="0" hidden="1"/>
    </dxf>
    <dxf>
      <protection locked="0" hidden="1"/>
    </dxf>
    <dxf>
      <font>
        <b/>
        <i val="0"/>
        <color theme="0"/>
      </font>
      <fill>
        <patternFill>
          <bgColor theme="3" tint="-0.499984740745262"/>
        </patternFill>
      </fill>
    </dxf>
    <dxf>
      <fill>
        <patternFill>
          <bgColor theme="2" tint="-0.749961851863155"/>
        </patternFill>
      </fill>
    </dxf>
    <dxf>
      <fill>
        <patternFill>
          <bgColor rgb="FF002060"/>
        </patternFill>
      </fill>
    </dxf>
    <dxf>
      <fill>
        <patternFill>
          <bgColor rgb="FF002060"/>
        </patternFill>
      </fill>
    </dxf>
  </dxfs>
  <tableStyles count="6" defaultTableStyle="TableStyleMedium2" defaultPivotStyle="PivotStyleLight16">
    <tableStyle name="Slicer Style 1" pivot="0" table="0" count="1" xr9:uid="{F7CAE9CB-4F98-4C2C-A2DC-C1645977D76B}">
      <tableStyleElement type="wholeTable" dxfId="99"/>
    </tableStyle>
    <tableStyle name="Slicer Style 2" pivot="0" table="0" count="0" xr9:uid="{4D1832D8-92E3-4F49-9BD4-71F587D8BF73}"/>
    <tableStyle name="Slicer Style 3" pivot="0" table="0" count="1" xr9:uid="{ADDE4D28-C36A-4C01-B4D9-071064B87F17}">
      <tableStyleElement type="wholeTable" dxfId="98"/>
    </tableStyle>
    <tableStyle name="Slicer Style 4" pivot="0" table="0" count="1" xr9:uid="{3A1D2D07-AE5D-4BD9-8CEB-B1B40ED916A1}">
      <tableStyleElement type="wholeTable" dxfId="97"/>
    </tableStyle>
    <tableStyle name="Slicer Style 5" pivot="0" table="0" count="1" xr9:uid="{7EAC2C0C-409E-42F4-8B41-298E61EF4843}"/>
    <tableStyle name="Slicer Style 6" pivot="0" table="0" count="1" xr9:uid="{AD02BBD8-7BB1-48B0-8AAD-A935594E7002}">
      <tableStyleElement type="headerRow" dxfId="96"/>
    </tableStyle>
  </tableStyles>
  <colors>
    <mruColors>
      <color rgb="FF000099"/>
      <color rgb="FFB85084"/>
      <color rgb="FFE2A700"/>
      <color rgb="FF192C4F"/>
      <color rgb="FF411296"/>
      <color rgb="FF370F7F"/>
      <color rgb="FF00091A"/>
      <color rgb="FF29487F"/>
      <color rgb="FF8E6900"/>
      <color rgb="FFAE94AF"/>
    </mruColors>
  </colors>
  <extLst>
    <ext xmlns:x14="http://schemas.microsoft.com/office/spreadsheetml/2009/9/main" uri="{46F421CA-312F-682f-3DD2-61675219B42D}">
      <x14:dxfs count="1">
        <dxf>
          <fill>
            <patternFill>
              <bgColor theme="3" tint="-0.499984740745262"/>
            </patternFill>
          </fill>
        </dxf>
      </x14:dxfs>
    </ext>
    <ext xmlns:x14="http://schemas.microsoft.com/office/spreadsheetml/2009/9/main" uri="{EB79DEF2-80B8-43e5-95BD-54CBDDF9020C}">
      <x14:slicerStyles defaultSlicerStyle="Slicer Style 4">
        <x14:slicerStyle name="Slicer Style 4"/>
        <x14:slicerStyle name="Slicer Style 5">
          <x14:slicerStyleElements>
            <x14:slicerStyleElement type="selectedItemWith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microsoft.com/office/2007/relationships/slicerCache" Target="slicerCaches/slicerCache2.xml" /><Relationship Id="rId18" Type="http://schemas.openxmlformats.org/officeDocument/2006/relationships/theme" Target="theme/theme1.xml" /><Relationship Id="rId3" Type="http://schemas.openxmlformats.org/officeDocument/2006/relationships/worksheet" Target="worksheets/sheet3.xml" /><Relationship Id="rId21" Type="http://schemas.openxmlformats.org/officeDocument/2006/relationships/sheetMetadata" Target="metadata.xml" /><Relationship Id="rId7" Type="http://schemas.openxmlformats.org/officeDocument/2006/relationships/worksheet" Target="worksheets/sheet7.xml" /><Relationship Id="rId12" Type="http://schemas.microsoft.com/office/2007/relationships/slicerCache" Target="slicerCaches/slicerCache1.xml" /><Relationship Id="rId17" Type="http://schemas.microsoft.com/office/2007/relationships/slicerCache" Target="slicerCaches/slicerCache6.xml" /><Relationship Id="rId25" Type="http://schemas.openxmlformats.org/officeDocument/2006/relationships/calcChain" Target="calcChain.xml" /><Relationship Id="rId2" Type="http://schemas.openxmlformats.org/officeDocument/2006/relationships/worksheet" Target="worksheets/sheet2.xml" /><Relationship Id="rId16" Type="http://schemas.microsoft.com/office/2007/relationships/slicerCache" Target="slicerCaches/slicerCache5.xml" /><Relationship Id="rId20" Type="http://schemas.openxmlformats.org/officeDocument/2006/relationships/sharedStrings" Target="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microsoft.com/office/2017/06/relationships/rdRichValueTypes" Target="richData/rdRichValueTypes.xml" /><Relationship Id="rId5" Type="http://schemas.openxmlformats.org/officeDocument/2006/relationships/worksheet" Target="worksheets/sheet5.xml" /><Relationship Id="rId15" Type="http://schemas.microsoft.com/office/2007/relationships/slicerCache" Target="slicerCaches/slicerCache4.xml" /><Relationship Id="rId23" Type="http://schemas.microsoft.com/office/2017/06/relationships/rdRichValueStructure" Target="richData/rdrichvaluestructure.xml" /><Relationship Id="rId10" Type="http://schemas.openxmlformats.org/officeDocument/2006/relationships/worksheet" Target="worksheets/sheet10.xml" /><Relationship Id="rId19"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worksheet" Target="worksheets/sheet9.xml" /><Relationship Id="rId14" Type="http://schemas.microsoft.com/office/2007/relationships/slicerCache" Target="slicerCaches/slicerCache3.xml" /><Relationship Id="rId22" Type="http://schemas.microsoft.com/office/2017/06/relationships/rdRichValue" Target="richData/rdrichvalue.xml" /></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 /><Relationship Id="rId1" Type="http://schemas.openxmlformats.org/officeDocument/2006/relationships/image" Target="../media/image2.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 /></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 /></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 /></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 /><Relationship Id="rId2" Type="http://schemas.openxmlformats.org/officeDocument/2006/relationships/image" Target="../media/image4.jpeg" /><Relationship Id="rId1" Type="http://schemas.openxmlformats.org/officeDocument/2006/relationships/image" Target="../media/image2.jpeg" /></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 /><Relationship Id="rId1" Type="http://schemas.openxmlformats.org/officeDocument/2006/relationships/image" Target="../media/image6.jpeg" /></Relationships>
</file>

<file path=xl/drawings/_rels/drawing7.xml.rels><?xml version="1.0" encoding="UTF-8" standalone="yes"?>
<Relationships xmlns="http://schemas.openxmlformats.org/package/2006/relationships"><Relationship Id="rId3" Type="http://schemas.openxmlformats.org/officeDocument/2006/relationships/image" Target="../media/image8.jpeg" /><Relationship Id="rId2" Type="http://schemas.openxmlformats.org/officeDocument/2006/relationships/image" Target="../media/image2.jpeg" /><Relationship Id="rId1" Type="http://schemas.openxmlformats.org/officeDocument/2006/relationships/image" Target="../media/image7.jpg" /><Relationship Id="rId4" Type="http://schemas.openxmlformats.org/officeDocument/2006/relationships/image" Target="../media/image9.jpeg" /></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0</xdr:colOff>
      <xdr:row>8</xdr:row>
      <xdr:rowOff>3348</xdr:rowOff>
    </xdr:to>
    <xdr:pic>
      <xdr:nvPicPr>
        <xdr:cNvPr id="2" name="Picture 1">
          <a:extLst>
            <a:ext uri="{FF2B5EF4-FFF2-40B4-BE49-F238E27FC236}">
              <a16:creationId xmlns:a16="http://schemas.microsoft.com/office/drawing/2014/main" id="{74E45902-D6D2-4879-94F1-FD25778218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0"/>
          <a:ext cx="1828800" cy="1336848"/>
        </a:xfrm>
        <a:prstGeom prst="rect">
          <a:avLst/>
        </a:prstGeom>
        <a:scene3d>
          <a:camera prst="orthographicFront"/>
          <a:lightRig rig="threePt" dir="t"/>
        </a:scene3d>
        <a:sp3d>
          <a:bevelT/>
        </a:sp3d>
      </xdr:spPr>
    </xdr:pic>
    <xdr:clientData/>
  </xdr:twoCellAnchor>
  <xdr:twoCellAnchor editAs="oneCell">
    <xdr:from>
      <xdr:col>2</xdr:col>
      <xdr:colOff>581025</xdr:colOff>
      <xdr:row>7</xdr:row>
      <xdr:rowOff>123825</xdr:rowOff>
    </xdr:from>
    <xdr:to>
      <xdr:col>8</xdr:col>
      <xdr:colOff>1333500</xdr:colOff>
      <xdr:row>16</xdr:row>
      <xdr:rowOff>84362</xdr:rowOff>
    </xdr:to>
    <xdr:pic>
      <xdr:nvPicPr>
        <xdr:cNvPr id="3" name="Picture 2" descr="Books on a shelf">
          <a:extLst>
            <a:ext uri="{FF2B5EF4-FFF2-40B4-BE49-F238E27FC236}">
              <a16:creationId xmlns:a16="http://schemas.microsoft.com/office/drawing/2014/main" id="{7FC3E838-85D6-42F8-88ED-79778F6721F0}"/>
            </a:ext>
          </a:extLst>
        </xdr:cNvPr>
        <xdr:cNvPicPr>
          <a:picLocks noChangeAspect="1"/>
        </xdr:cNvPicPr>
      </xdr:nvPicPr>
      <xdr:blipFill>
        <a:blip xmlns:r="http://schemas.openxmlformats.org/officeDocument/2006/relationships" r:embed="rId2" cstate="print">
          <a:alphaModFix/>
          <a:extLst>
            <a:ext uri="{28A0092B-C50C-407E-A947-70E740481C1C}">
              <a14:useLocalDpi xmlns:a14="http://schemas.microsoft.com/office/drawing/2010/main" val="0"/>
            </a:ext>
          </a:extLst>
        </a:blip>
        <a:stretch>
          <a:fillRect/>
        </a:stretch>
      </xdr:blipFill>
      <xdr:spPr>
        <a:xfrm>
          <a:off x="1800225" y="1457325"/>
          <a:ext cx="6362700" cy="1675037"/>
        </a:xfrm>
        <a:prstGeom prst="rect">
          <a:avLst/>
        </a:prstGeom>
        <a:ln w="76200">
          <a:noFill/>
        </a:ln>
      </xdr:spPr>
    </xdr:pic>
    <xdr:clientData/>
  </xdr:twoCellAnchor>
  <xdr:twoCellAnchor editAs="oneCell">
    <xdr:from>
      <xdr:col>2</xdr:col>
      <xdr:colOff>571500</xdr:colOff>
      <xdr:row>16</xdr:row>
      <xdr:rowOff>95250</xdr:rowOff>
    </xdr:from>
    <xdr:to>
      <xdr:col>8</xdr:col>
      <xdr:colOff>1323975</xdr:colOff>
      <xdr:row>25</xdr:row>
      <xdr:rowOff>55787</xdr:rowOff>
    </xdr:to>
    <xdr:pic>
      <xdr:nvPicPr>
        <xdr:cNvPr id="4" name="Picture 3" descr="Books on a shelf">
          <a:extLst>
            <a:ext uri="{FF2B5EF4-FFF2-40B4-BE49-F238E27FC236}">
              <a16:creationId xmlns:a16="http://schemas.microsoft.com/office/drawing/2014/main" id="{323B7D97-3567-4048-B2E3-85C4D9C0A513}"/>
            </a:ext>
          </a:extLst>
        </xdr:cNvPr>
        <xdr:cNvPicPr>
          <a:picLocks noChangeAspect="1"/>
        </xdr:cNvPicPr>
      </xdr:nvPicPr>
      <xdr:blipFill>
        <a:blip xmlns:r="http://schemas.openxmlformats.org/officeDocument/2006/relationships" r:embed="rId2" cstate="print">
          <a:alphaModFix/>
          <a:extLst>
            <a:ext uri="{28A0092B-C50C-407E-A947-70E740481C1C}">
              <a14:useLocalDpi xmlns:a14="http://schemas.microsoft.com/office/drawing/2010/main" val="0"/>
            </a:ext>
          </a:extLst>
        </a:blip>
        <a:stretch>
          <a:fillRect/>
        </a:stretch>
      </xdr:blipFill>
      <xdr:spPr>
        <a:xfrm>
          <a:off x="1790700" y="3143250"/>
          <a:ext cx="6362700" cy="1675037"/>
        </a:xfrm>
        <a:prstGeom prst="rect">
          <a:avLst/>
        </a:prstGeom>
      </xdr:spPr>
    </xdr:pic>
    <xdr:clientData/>
  </xdr:twoCellAnchor>
  <xdr:twoCellAnchor editAs="oneCell">
    <xdr:from>
      <xdr:col>8</xdr:col>
      <xdr:colOff>1304925</xdr:colOff>
      <xdr:row>7</xdr:row>
      <xdr:rowOff>133350</xdr:rowOff>
    </xdr:from>
    <xdr:to>
      <xdr:col>17</xdr:col>
      <xdr:colOff>228600</xdr:colOff>
      <xdr:row>16</xdr:row>
      <xdr:rowOff>93887</xdr:rowOff>
    </xdr:to>
    <xdr:pic>
      <xdr:nvPicPr>
        <xdr:cNvPr id="5" name="Picture 4" descr="Books on a shelf">
          <a:extLst>
            <a:ext uri="{FF2B5EF4-FFF2-40B4-BE49-F238E27FC236}">
              <a16:creationId xmlns:a16="http://schemas.microsoft.com/office/drawing/2014/main" id="{60DB11B7-B156-4CB4-904C-ABEEA1677F22}"/>
            </a:ext>
          </a:extLst>
        </xdr:cNvPr>
        <xdr:cNvPicPr>
          <a:picLocks noChangeAspect="1"/>
        </xdr:cNvPicPr>
      </xdr:nvPicPr>
      <xdr:blipFill>
        <a:blip xmlns:r="http://schemas.openxmlformats.org/officeDocument/2006/relationships" r:embed="rId2" cstate="print">
          <a:alphaModFix/>
          <a:extLst>
            <a:ext uri="{28A0092B-C50C-407E-A947-70E740481C1C}">
              <a14:useLocalDpi xmlns:a14="http://schemas.microsoft.com/office/drawing/2010/main" val="0"/>
            </a:ext>
          </a:extLst>
        </a:blip>
        <a:stretch>
          <a:fillRect/>
        </a:stretch>
      </xdr:blipFill>
      <xdr:spPr>
        <a:xfrm>
          <a:off x="8134350" y="1466850"/>
          <a:ext cx="6362700" cy="1675037"/>
        </a:xfrm>
        <a:prstGeom prst="rect">
          <a:avLst/>
        </a:prstGeom>
      </xdr:spPr>
    </xdr:pic>
    <xdr:clientData/>
  </xdr:twoCellAnchor>
  <xdr:twoCellAnchor editAs="oneCell">
    <xdr:from>
      <xdr:col>8</xdr:col>
      <xdr:colOff>1285875</xdr:colOff>
      <xdr:row>16</xdr:row>
      <xdr:rowOff>95250</xdr:rowOff>
    </xdr:from>
    <xdr:to>
      <xdr:col>17</xdr:col>
      <xdr:colOff>209550</xdr:colOff>
      <xdr:row>25</xdr:row>
      <xdr:rowOff>55787</xdr:rowOff>
    </xdr:to>
    <xdr:pic>
      <xdr:nvPicPr>
        <xdr:cNvPr id="6" name="Picture 5" descr="Books on a shelf">
          <a:extLst>
            <a:ext uri="{FF2B5EF4-FFF2-40B4-BE49-F238E27FC236}">
              <a16:creationId xmlns:a16="http://schemas.microsoft.com/office/drawing/2014/main" id="{C576DDA5-B6DF-46C2-912F-8438CFDEC595}"/>
            </a:ext>
          </a:extLst>
        </xdr:cNvPr>
        <xdr:cNvPicPr>
          <a:picLocks noChangeAspect="1"/>
        </xdr:cNvPicPr>
      </xdr:nvPicPr>
      <xdr:blipFill>
        <a:blip xmlns:r="http://schemas.openxmlformats.org/officeDocument/2006/relationships" r:embed="rId2" cstate="print">
          <a:alphaModFix/>
          <a:extLst>
            <a:ext uri="{28A0092B-C50C-407E-A947-70E740481C1C}">
              <a14:useLocalDpi xmlns:a14="http://schemas.microsoft.com/office/drawing/2010/main" val="0"/>
            </a:ext>
          </a:extLst>
        </a:blip>
        <a:stretch>
          <a:fillRect/>
        </a:stretch>
      </xdr:blipFill>
      <xdr:spPr>
        <a:xfrm>
          <a:off x="8115300" y="3143250"/>
          <a:ext cx="6362700" cy="1675037"/>
        </a:xfrm>
        <a:prstGeom prst="rect">
          <a:avLst/>
        </a:prstGeom>
      </xdr:spPr>
    </xdr:pic>
    <xdr:clientData/>
  </xdr:twoCellAnchor>
  <xdr:twoCellAnchor editAs="oneCell">
    <xdr:from>
      <xdr:col>2</xdr:col>
      <xdr:colOff>571500</xdr:colOff>
      <xdr:row>25</xdr:row>
      <xdr:rowOff>66675</xdr:rowOff>
    </xdr:from>
    <xdr:to>
      <xdr:col>8</xdr:col>
      <xdr:colOff>1323975</xdr:colOff>
      <xdr:row>34</xdr:row>
      <xdr:rowOff>27212</xdr:rowOff>
    </xdr:to>
    <xdr:pic>
      <xdr:nvPicPr>
        <xdr:cNvPr id="7" name="Picture 6" descr="Books on a shelf">
          <a:extLst>
            <a:ext uri="{FF2B5EF4-FFF2-40B4-BE49-F238E27FC236}">
              <a16:creationId xmlns:a16="http://schemas.microsoft.com/office/drawing/2014/main" id="{C2160252-BC08-4C83-A014-9D7532AFF28A}"/>
            </a:ext>
          </a:extLst>
        </xdr:cNvPr>
        <xdr:cNvPicPr>
          <a:picLocks noChangeAspect="1"/>
        </xdr:cNvPicPr>
      </xdr:nvPicPr>
      <xdr:blipFill>
        <a:blip xmlns:r="http://schemas.openxmlformats.org/officeDocument/2006/relationships" r:embed="rId2" cstate="print">
          <a:alphaModFix/>
          <a:extLst>
            <a:ext uri="{28A0092B-C50C-407E-A947-70E740481C1C}">
              <a14:useLocalDpi xmlns:a14="http://schemas.microsoft.com/office/drawing/2010/main" val="0"/>
            </a:ext>
          </a:extLst>
        </a:blip>
        <a:stretch>
          <a:fillRect/>
        </a:stretch>
      </xdr:blipFill>
      <xdr:spPr>
        <a:xfrm>
          <a:off x="1790700" y="4829175"/>
          <a:ext cx="6362700" cy="1675037"/>
        </a:xfrm>
        <a:prstGeom prst="rect">
          <a:avLst/>
        </a:prstGeom>
      </xdr:spPr>
    </xdr:pic>
    <xdr:clientData/>
  </xdr:twoCellAnchor>
  <xdr:twoCellAnchor editAs="oneCell">
    <xdr:from>
      <xdr:col>8</xdr:col>
      <xdr:colOff>1314450</xdr:colOff>
      <xdr:row>25</xdr:row>
      <xdr:rowOff>57150</xdr:rowOff>
    </xdr:from>
    <xdr:to>
      <xdr:col>17</xdr:col>
      <xdr:colOff>238125</xdr:colOff>
      <xdr:row>34</xdr:row>
      <xdr:rowOff>17687</xdr:rowOff>
    </xdr:to>
    <xdr:pic>
      <xdr:nvPicPr>
        <xdr:cNvPr id="8" name="Picture 7" descr="Books on a shelf">
          <a:extLst>
            <a:ext uri="{FF2B5EF4-FFF2-40B4-BE49-F238E27FC236}">
              <a16:creationId xmlns:a16="http://schemas.microsoft.com/office/drawing/2014/main" id="{FB501F2D-A362-42A3-A2C7-FC6A502C5439}"/>
            </a:ext>
          </a:extLst>
        </xdr:cNvPr>
        <xdr:cNvPicPr>
          <a:picLocks noChangeAspect="1"/>
        </xdr:cNvPicPr>
      </xdr:nvPicPr>
      <xdr:blipFill>
        <a:blip xmlns:r="http://schemas.openxmlformats.org/officeDocument/2006/relationships" r:embed="rId2" cstate="print">
          <a:alphaModFix/>
          <a:extLst>
            <a:ext uri="{28A0092B-C50C-407E-A947-70E740481C1C}">
              <a14:useLocalDpi xmlns:a14="http://schemas.microsoft.com/office/drawing/2010/main" val="0"/>
            </a:ext>
          </a:extLst>
        </a:blip>
        <a:stretch>
          <a:fillRect/>
        </a:stretch>
      </xdr:blipFill>
      <xdr:spPr>
        <a:xfrm>
          <a:off x="8143875" y="4819650"/>
          <a:ext cx="6362700" cy="1675037"/>
        </a:xfrm>
        <a:prstGeom prst="rect">
          <a:avLst/>
        </a:prstGeom>
      </xdr:spPr>
    </xdr:pic>
    <xdr:clientData/>
  </xdr:twoCellAnchor>
  <xdr:oneCellAnchor>
    <xdr:from>
      <xdr:col>3</xdr:col>
      <xdr:colOff>161924</xdr:colOff>
      <xdr:row>1</xdr:row>
      <xdr:rowOff>45536</xdr:rowOff>
    </xdr:from>
    <xdr:ext cx="8448676" cy="1173663"/>
    <xdr:sp macro="" textlink="">
      <xdr:nvSpPr>
        <xdr:cNvPr id="9" name="Rectangle 8">
          <a:extLst>
            <a:ext uri="{FF2B5EF4-FFF2-40B4-BE49-F238E27FC236}">
              <a16:creationId xmlns:a16="http://schemas.microsoft.com/office/drawing/2014/main" id="{D4587DDA-44A6-3F2F-BD48-B7A7B4AC5543}"/>
            </a:ext>
          </a:extLst>
        </xdr:cNvPr>
        <xdr:cNvSpPr/>
      </xdr:nvSpPr>
      <xdr:spPr>
        <a:xfrm>
          <a:off x="1990724" y="236036"/>
          <a:ext cx="8448676" cy="1173663"/>
        </a:xfrm>
        <a:prstGeom prst="rect">
          <a:avLst/>
        </a:prstGeom>
        <a:noFill/>
      </xdr:spPr>
      <xdr:txBody>
        <a:bodyPr wrap="square" lIns="91440" tIns="45720" rIns="91440" bIns="45720">
          <a:noAutofit/>
        </a:bodyPr>
        <a:lstStyle/>
        <a:p>
          <a:pPr algn="ctr"/>
          <a:r>
            <a:rPr lang="en-US" sz="5400" b="0" cap="none" spc="0">
              <a:ln w="0"/>
              <a:solidFill>
                <a:schemeClr val="bg1"/>
              </a:solidFill>
              <a:effectLst>
                <a:reflection blurRad="6350" stA="53000" endA="300" endPos="35500" dir="5400000" sy="-90000" algn="bl" rotWithShape="0"/>
              </a:effectLst>
            </a:rPr>
            <a:t>HIGH </a:t>
          </a:r>
          <a:r>
            <a:rPr lang="en-US" sz="6000" b="0" cap="none" spc="0">
              <a:ln w="0"/>
              <a:solidFill>
                <a:schemeClr val="bg1"/>
              </a:solidFill>
              <a:effectLst>
                <a:reflection blurRad="6350" stA="53000" endA="300" endPos="35500" dir="5400000" sy="-90000" algn="bl" rotWithShape="0"/>
              </a:effectLst>
            </a:rPr>
            <a:t>COURT</a:t>
          </a:r>
          <a:r>
            <a:rPr lang="en-US" sz="5400" b="0" cap="none" spc="0">
              <a:ln w="0"/>
              <a:solidFill>
                <a:schemeClr val="bg1"/>
              </a:solidFill>
              <a:effectLst>
                <a:reflection blurRad="6350" stA="53000" endA="300" endPos="35500" dir="5400000" sy="-90000" algn="bl" rotWithShape="0"/>
              </a:effectLst>
            </a:rPr>
            <a:t> 6 FILE PORTAL</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9525</xdr:rowOff>
    </xdr:from>
    <xdr:to>
      <xdr:col>30</xdr:col>
      <xdr:colOff>523875</xdr:colOff>
      <xdr:row>11</xdr:row>
      <xdr:rowOff>179750</xdr:rowOff>
    </xdr:to>
    <xdr:sp macro="" textlink="">
      <xdr:nvSpPr>
        <xdr:cNvPr id="4" name="Rectangle 3">
          <a:extLst>
            <a:ext uri="{FF2B5EF4-FFF2-40B4-BE49-F238E27FC236}">
              <a16:creationId xmlns:a16="http://schemas.microsoft.com/office/drawing/2014/main" id="{2D7AE67B-96F3-469B-9064-3523ACBA26E6}"/>
            </a:ext>
          </a:extLst>
        </xdr:cNvPr>
        <xdr:cNvSpPr/>
      </xdr:nvSpPr>
      <xdr:spPr>
        <a:xfrm>
          <a:off x="0" y="200025"/>
          <a:ext cx="25307925" cy="2075225"/>
        </a:xfrm>
        <a:prstGeom prst="rect">
          <a:avLst/>
        </a:prstGeom>
        <a:gradFill flip="none" rotWithShape="1">
          <a:gsLst>
            <a:gs pos="0">
              <a:schemeClr val="accent1">
                <a:lumMod val="40000"/>
                <a:lumOff val="60000"/>
                <a:alpha val="82000"/>
              </a:schemeClr>
            </a:gs>
            <a:gs pos="46000">
              <a:schemeClr val="accent1">
                <a:lumMod val="95000"/>
                <a:lumOff val="5000"/>
              </a:schemeClr>
            </a:gs>
            <a:gs pos="100000">
              <a:schemeClr val="accent1">
                <a:lumMod val="6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NG" sz="2800" b="0" cap="none" spc="0">
            <a:ln w="0"/>
            <a:solidFill>
              <a:schemeClr val="bg1"/>
            </a:solidFill>
            <a:effectLst>
              <a:reflection blurRad="6350" stA="53000" endA="300" endPos="35500" dir="5400000" sy="-90000" algn="bl" rotWithShape="0"/>
            </a:effectLst>
            <a:latin typeface="Aharoni" panose="02010803020104030203" pitchFamily="2" charset="-79"/>
            <a:cs typeface="Aharoni" panose="02010803020104030203" pitchFamily="2" charset="-79"/>
          </a:endParaRPr>
        </a:p>
      </xdr:txBody>
    </xdr:sp>
    <xdr:clientData/>
  </xdr:twoCellAnchor>
  <xdr:twoCellAnchor>
    <xdr:from>
      <xdr:col>1</xdr:col>
      <xdr:colOff>247651</xdr:colOff>
      <xdr:row>2</xdr:row>
      <xdr:rowOff>152400</xdr:rowOff>
    </xdr:from>
    <xdr:to>
      <xdr:col>1</xdr:col>
      <xdr:colOff>2419351</xdr:colOff>
      <xdr:row>11</xdr:row>
      <xdr:rowOff>19050</xdr:rowOff>
    </xdr:to>
    <xdr:pic>
      <xdr:nvPicPr>
        <xdr:cNvPr id="2" name="Picture 1">
          <a:extLst>
            <a:ext uri="{FF2B5EF4-FFF2-40B4-BE49-F238E27FC236}">
              <a16:creationId xmlns:a16="http://schemas.microsoft.com/office/drawing/2014/main" id="{F5EC28BD-B73D-4B63-88C0-BAED26491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1" y="533400"/>
          <a:ext cx="2171700" cy="1581150"/>
        </a:xfrm>
        <a:prstGeom prst="rect">
          <a:avLst/>
        </a:prstGeom>
        <a:scene3d>
          <a:camera prst="orthographicFront"/>
          <a:lightRig rig="threePt" dir="t"/>
        </a:scene3d>
        <a:sp3d>
          <a:bevelT/>
        </a:sp3d>
      </xdr:spPr>
    </xdr:pic>
    <xdr:clientData/>
  </xdr:twoCellAnchor>
  <xdr:oneCellAnchor>
    <xdr:from>
      <xdr:col>3</xdr:col>
      <xdr:colOff>752475</xdr:colOff>
      <xdr:row>4</xdr:row>
      <xdr:rowOff>45535</xdr:rowOff>
    </xdr:from>
    <xdr:ext cx="9258299" cy="1326065"/>
    <xdr:sp macro="" textlink="">
      <xdr:nvSpPr>
        <xdr:cNvPr id="3" name="Rectangle 2">
          <a:extLst>
            <a:ext uri="{FF2B5EF4-FFF2-40B4-BE49-F238E27FC236}">
              <a16:creationId xmlns:a16="http://schemas.microsoft.com/office/drawing/2014/main" id="{840208B7-9FCA-1F58-1018-7DCE23CB7C77}"/>
            </a:ext>
          </a:extLst>
        </xdr:cNvPr>
        <xdr:cNvSpPr/>
      </xdr:nvSpPr>
      <xdr:spPr>
        <a:xfrm>
          <a:off x="5876925" y="807535"/>
          <a:ext cx="9258299" cy="1326065"/>
        </a:xfrm>
        <a:prstGeom prst="rect">
          <a:avLst/>
        </a:prstGeom>
        <a:noFill/>
      </xdr:spPr>
      <xdr:txBody>
        <a:bodyPr wrap="none" lIns="91440" tIns="45720" rIns="91440" bIns="45720">
          <a:noAutofit/>
        </a:bodyPr>
        <a:lstStyle/>
        <a:p>
          <a:pPr algn="ctr"/>
          <a:r>
            <a:rPr lang="en-US" sz="5400" b="0" cap="none" spc="0">
              <a:ln w="0"/>
              <a:solidFill>
                <a:schemeClr val="bg1"/>
              </a:solidFill>
              <a:effectLst>
                <a:reflection blurRad="6350" stA="53000" endA="300" endPos="35500" dir="5400000" sy="-90000" algn="bl" rotWithShape="0"/>
              </a:effectLst>
            </a:rPr>
            <a:t>HIGH COURT 6 - COUNSEL DIRECTORY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11905</xdr:colOff>
      <xdr:row>2</xdr:row>
      <xdr:rowOff>28575</xdr:rowOff>
    </xdr:from>
    <xdr:to>
      <xdr:col>16</xdr:col>
      <xdr:colOff>11905</xdr:colOff>
      <xdr:row>13</xdr:row>
      <xdr:rowOff>8300</xdr:rowOff>
    </xdr:to>
    <xdr:sp macro="" textlink="">
      <xdr:nvSpPr>
        <xdr:cNvPr id="3" name="Rectangle 2">
          <a:extLst>
            <a:ext uri="{FF2B5EF4-FFF2-40B4-BE49-F238E27FC236}">
              <a16:creationId xmlns:a16="http://schemas.microsoft.com/office/drawing/2014/main" id="{890C7C21-AA7A-447A-BBC5-86C61B81625B}"/>
            </a:ext>
          </a:extLst>
        </xdr:cNvPr>
        <xdr:cNvSpPr/>
      </xdr:nvSpPr>
      <xdr:spPr>
        <a:xfrm>
          <a:off x="1404936" y="409575"/>
          <a:ext cx="16394907" cy="207522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l"/>
          <a:endParaRPr lang="en-NG" sz="2800" b="0" cap="none" spc="0">
            <a:ln w="0"/>
            <a:solidFill>
              <a:schemeClr val="bg1"/>
            </a:solidFill>
            <a:effectLst>
              <a:reflection blurRad="6350" stA="53000" endA="300" endPos="35500" dir="5400000" sy="-90000" algn="bl" rotWithShape="0"/>
            </a:effectLst>
            <a:latin typeface="Aharoni" panose="02010803020104030203" pitchFamily="2" charset="-79"/>
            <a:cs typeface="Aharoni" panose="02010803020104030203" pitchFamily="2" charset="-79"/>
          </a:endParaRPr>
        </a:p>
      </xdr:txBody>
    </xdr:sp>
    <xdr:clientData/>
  </xdr:twoCellAnchor>
  <xdr:twoCellAnchor>
    <xdr:from>
      <xdr:col>2</xdr:col>
      <xdr:colOff>409576</xdr:colOff>
      <xdr:row>3</xdr:row>
      <xdr:rowOff>104775</xdr:rowOff>
    </xdr:from>
    <xdr:to>
      <xdr:col>3</xdr:col>
      <xdr:colOff>611980</xdr:colOff>
      <xdr:row>11</xdr:row>
      <xdr:rowOff>161925</xdr:rowOff>
    </xdr:to>
    <xdr:pic>
      <xdr:nvPicPr>
        <xdr:cNvPr id="2" name="Picture 1">
          <a:extLst>
            <a:ext uri="{FF2B5EF4-FFF2-40B4-BE49-F238E27FC236}">
              <a16:creationId xmlns:a16="http://schemas.microsoft.com/office/drawing/2014/main" id="{CE6AEC2F-9195-4ABA-BAAB-08067131DF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2607" y="676275"/>
          <a:ext cx="1928811" cy="1581150"/>
        </a:xfrm>
        <a:prstGeom prst="rect">
          <a:avLst/>
        </a:prstGeom>
        <a:scene3d>
          <a:camera prst="orthographicFront"/>
          <a:lightRig rig="threePt" dir="t"/>
        </a:scene3d>
        <a:sp3d>
          <a:bevelT/>
        </a:sp3d>
      </xdr:spPr>
    </xdr:pic>
    <xdr:clientData/>
  </xdr:twoCellAnchor>
  <xdr:twoCellAnchor>
    <xdr:from>
      <xdr:col>3</xdr:col>
      <xdr:colOff>1207901</xdr:colOff>
      <xdr:row>4</xdr:row>
      <xdr:rowOff>169900</xdr:rowOff>
    </xdr:from>
    <xdr:to>
      <xdr:col>8</xdr:col>
      <xdr:colOff>199359</xdr:colOff>
      <xdr:row>11</xdr:row>
      <xdr:rowOff>22151</xdr:rowOff>
    </xdr:to>
    <xdr:sp macro="" textlink="">
      <xdr:nvSpPr>
        <xdr:cNvPr id="4" name="Rectangle: Folded Corner 3">
          <a:extLst>
            <a:ext uri="{FF2B5EF4-FFF2-40B4-BE49-F238E27FC236}">
              <a16:creationId xmlns:a16="http://schemas.microsoft.com/office/drawing/2014/main" id="{2659AF70-34C9-4579-D5B3-86EEE84579F8}"/>
            </a:ext>
          </a:extLst>
        </xdr:cNvPr>
        <xdr:cNvSpPr/>
      </xdr:nvSpPr>
      <xdr:spPr>
        <a:xfrm>
          <a:off x="4331215" y="923040"/>
          <a:ext cx="7807621" cy="1170245"/>
        </a:xfrm>
        <a:prstGeom prst="foldedCorner">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800" b="1" cap="none" spc="0">
              <a:ln w="0"/>
              <a:solidFill>
                <a:schemeClr val="bg1"/>
              </a:solidFill>
              <a:effectLst>
                <a:reflection blurRad="6350" stA="53000" endA="300" endPos="35500" dir="5400000" sy="-90000" algn="bl" rotWithShape="0"/>
              </a:effectLst>
              <a:latin typeface="Century Gothic" panose="020B0502020202020204" pitchFamily="34" charset="0"/>
            </a:rPr>
            <a:t>IN</a:t>
          </a:r>
          <a:r>
            <a:rPr lang="en-US" sz="2800" b="1" cap="none" spc="0" baseline="0">
              <a:ln w="0"/>
              <a:solidFill>
                <a:schemeClr val="bg1"/>
              </a:solidFill>
              <a:effectLst>
                <a:reflection blurRad="6350" stA="53000" endA="300" endPos="35500" dir="5400000" sy="-90000" algn="bl" rotWithShape="0"/>
              </a:effectLst>
              <a:latin typeface="Century Gothic" panose="020B0502020202020204" pitchFamily="34" charset="0"/>
            </a:rPr>
            <a:t> THE HIGH COURT OF RIVERS STATE</a:t>
          </a:r>
        </a:p>
        <a:p>
          <a:pPr algn="ctr"/>
          <a:r>
            <a:rPr lang="en-US" sz="2800" b="1" cap="none" spc="0" baseline="0">
              <a:ln w="0"/>
              <a:solidFill>
                <a:schemeClr val="bg1"/>
              </a:solidFill>
              <a:effectLst>
                <a:reflection blurRad="6350" stA="53000" endA="300" endPos="35500" dir="5400000" sy="-90000" algn="bl" rotWithShape="0"/>
              </a:effectLst>
              <a:latin typeface="Century Gothic" panose="020B0502020202020204" pitchFamily="34" charset="0"/>
            </a:rPr>
            <a:t>QUARTERLY RETURNS OF JUDICIAL ACTIVITES</a:t>
          </a:r>
          <a:endParaRPr lang="en-NG" sz="2800" b="1" cap="none" spc="0">
            <a:ln w="0"/>
            <a:solidFill>
              <a:schemeClr val="bg1"/>
            </a:solidFill>
            <a:effectLst>
              <a:reflection blurRad="6350" stA="53000" endA="300" endPos="35500" dir="5400000" sy="-90000" algn="bl" rotWithShape="0"/>
            </a:effectLst>
            <a:latin typeface="Century Gothic" panose="020B0502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19049</xdr:colOff>
      <xdr:row>2</xdr:row>
      <xdr:rowOff>18278</xdr:rowOff>
    </xdr:from>
    <xdr:to>
      <xdr:col>3</xdr:col>
      <xdr:colOff>1438274</xdr:colOff>
      <xdr:row>8</xdr:row>
      <xdr:rowOff>228599</xdr:rowOff>
    </xdr:to>
    <xdr:pic>
      <xdr:nvPicPr>
        <xdr:cNvPr id="2" name="Picture 1">
          <a:extLst>
            <a:ext uri="{FF2B5EF4-FFF2-40B4-BE49-F238E27FC236}">
              <a16:creationId xmlns:a16="http://schemas.microsoft.com/office/drawing/2014/main" id="{97A0FDD4-C3A9-484F-8FDF-B6B81AEB8B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49" y="399278"/>
          <a:ext cx="1990725" cy="1781946"/>
        </a:xfrm>
        <a:prstGeom prst="rect">
          <a:avLst/>
        </a:prstGeom>
        <a:scene3d>
          <a:camera prst="orthographicFront"/>
          <a:lightRig rig="threePt" dir="t"/>
        </a:scene3d>
        <a:sp3d>
          <a:bevelT/>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3473355</xdr:colOff>
      <xdr:row>1</xdr:row>
      <xdr:rowOff>30629</xdr:rowOff>
    </xdr:from>
    <xdr:to>
      <xdr:col>27</xdr:col>
      <xdr:colOff>23090</xdr:colOff>
      <xdr:row>12</xdr:row>
      <xdr:rowOff>10354</xdr:rowOff>
    </xdr:to>
    <xdr:sp macro="" textlink="">
      <xdr:nvSpPr>
        <xdr:cNvPr id="4" name="Rectangle 3">
          <a:extLst>
            <a:ext uri="{FF2B5EF4-FFF2-40B4-BE49-F238E27FC236}">
              <a16:creationId xmlns:a16="http://schemas.microsoft.com/office/drawing/2014/main" id="{393BF910-6CA1-9DC5-DE25-B84193F8BA30}"/>
            </a:ext>
          </a:extLst>
        </xdr:cNvPr>
        <xdr:cNvSpPr/>
      </xdr:nvSpPr>
      <xdr:spPr>
        <a:xfrm>
          <a:off x="3473355" y="218243"/>
          <a:ext cx="58072576" cy="2043475"/>
        </a:xfrm>
        <a:prstGeom prst="rect">
          <a:avLst/>
        </a:prstGeom>
        <a:gradFill flip="none" rotWithShape="1">
          <a:gsLst>
            <a:gs pos="0">
              <a:schemeClr val="accent1">
                <a:lumMod val="40000"/>
                <a:lumOff val="60000"/>
                <a:alpha val="82000"/>
              </a:schemeClr>
            </a:gs>
            <a:gs pos="46000">
              <a:schemeClr val="accent1">
                <a:lumMod val="95000"/>
                <a:lumOff val="5000"/>
              </a:schemeClr>
            </a:gs>
            <a:gs pos="100000">
              <a:schemeClr val="accent1">
                <a:lumMod val="6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NG" sz="2800" b="0" cap="none" spc="0">
            <a:ln w="0"/>
            <a:solidFill>
              <a:schemeClr val="bg1"/>
            </a:solidFill>
            <a:effectLst>
              <a:reflection blurRad="6350" stA="53000" endA="300" endPos="35500" dir="5400000" sy="-90000" algn="bl" rotWithShape="0"/>
            </a:effectLst>
            <a:latin typeface="Aharoni" panose="02010803020104030203" pitchFamily="2" charset="-79"/>
            <a:cs typeface="Aharoni" panose="02010803020104030203" pitchFamily="2" charset="-79"/>
          </a:endParaRPr>
        </a:p>
      </xdr:txBody>
    </xdr:sp>
    <xdr:clientData/>
  </xdr:twoCellAnchor>
  <xdr:twoCellAnchor>
    <xdr:from>
      <xdr:col>1</xdr:col>
      <xdr:colOff>134324</xdr:colOff>
      <xdr:row>1</xdr:row>
      <xdr:rowOff>73260</xdr:rowOff>
    </xdr:from>
    <xdr:to>
      <xdr:col>1</xdr:col>
      <xdr:colOff>2511159</xdr:colOff>
      <xdr:row>11</xdr:row>
      <xdr:rowOff>124471</xdr:rowOff>
    </xdr:to>
    <xdr:pic>
      <xdr:nvPicPr>
        <xdr:cNvPr id="2" name="Picture 1">
          <a:extLst>
            <a:ext uri="{FF2B5EF4-FFF2-40B4-BE49-F238E27FC236}">
              <a16:creationId xmlns:a16="http://schemas.microsoft.com/office/drawing/2014/main" id="{4F8DA7E8-472E-425B-85DB-BC6E1CE0A5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324" y="267648"/>
          <a:ext cx="2376835" cy="1995088"/>
        </a:xfrm>
        <a:prstGeom prst="rect">
          <a:avLst/>
        </a:prstGeom>
        <a:scene3d>
          <a:camera prst="orthographicFront"/>
          <a:lightRig rig="threePt" dir="t"/>
        </a:scene3d>
        <a:sp3d>
          <a:bevelT/>
        </a:sp3d>
      </xdr:spPr>
    </xdr:pic>
    <xdr:clientData/>
  </xdr:twoCellAnchor>
  <xdr:oneCellAnchor>
    <xdr:from>
      <xdr:col>1</xdr:col>
      <xdr:colOff>2545235</xdr:colOff>
      <xdr:row>2</xdr:row>
      <xdr:rowOff>148403</xdr:rowOff>
    </xdr:from>
    <xdr:ext cx="19129000" cy="1487886"/>
    <xdr:sp macro="" textlink="">
      <xdr:nvSpPr>
        <xdr:cNvPr id="5" name="Rectangle 4">
          <a:extLst>
            <a:ext uri="{FF2B5EF4-FFF2-40B4-BE49-F238E27FC236}">
              <a16:creationId xmlns:a16="http://schemas.microsoft.com/office/drawing/2014/main" id="{800D2C2D-7945-92CF-7C86-DA4A408B64A0}"/>
            </a:ext>
          </a:extLst>
        </xdr:cNvPr>
        <xdr:cNvSpPr/>
      </xdr:nvSpPr>
      <xdr:spPr>
        <a:xfrm>
          <a:off x="2545235" y="537179"/>
          <a:ext cx="19129000" cy="1487886"/>
        </a:xfrm>
        <a:prstGeom prst="rect">
          <a:avLst/>
        </a:prstGeom>
        <a:noFill/>
      </xdr:spPr>
      <xdr:txBody>
        <a:bodyPr wrap="square" lIns="91440" tIns="45720" rIns="91440" bIns="45720">
          <a:noAutofit/>
        </a:bodyPr>
        <a:lstStyle/>
        <a:p>
          <a:pPr algn="ctr"/>
          <a:r>
            <a:rPr lang="en-US" sz="5400" b="0" cap="none" spc="0">
              <a:ln w="0"/>
              <a:solidFill>
                <a:schemeClr val="bg1"/>
              </a:solidFill>
              <a:effectLst>
                <a:reflection blurRad="6350" stA="53000" endA="300" endPos="35500" dir="5400000" sy="-90000" algn="bl" rotWithShape="0"/>
              </a:effectLst>
              <a:latin typeface="Aharoni" panose="02010803020104030203" pitchFamily="2" charset="-79"/>
              <a:cs typeface="Aharoni" panose="02010803020104030203" pitchFamily="2" charset="-79"/>
            </a:rPr>
            <a:t>HIGH</a:t>
          </a:r>
          <a:r>
            <a:rPr lang="en-US" sz="5400" b="0" cap="none" spc="0" baseline="0">
              <a:ln w="0"/>
              <a:solidFill>
                <a:schemeClr val="bg1"/>
              </a:solidFill>
              <a:effectLst>
                <a:reflection blurRad="6350" stA="53000" endA="300" endPos="35500" dir="5400000" sy="-90000" algn="bl" rotWithShape="0"/>
              </a:effectLst>
              <a:latin typeface="Aharoni" panose="02010803020104030203" pitchFamily="2" charset="-79"/>
              <a:cs typeface="Aharoni" panose="02010803020104030203" pitchFamily="2" charset="-79"/>
            </a:rPr>
            <a:t> </a:t>
          </a:r>
          <a:r>
            <a:rPr lang="en-US" sz="5400" b="0" cap="none" spc="0">
              <a:ln w="0"/>
              <a:solidFill>
                <a:schemeClr val="bg1"/>
              </a:solidFill>
              <a:effectLst>
                <a:reflection blurRad="6350" stA="53000" endA="300" endPos="35500" dir="5400000" sy="-90000" algn="bl" rotWithShape="0"/>
              </a:effectLst>
              <a:latin typeface="Aharoni" panose="02010803020104030203" pitchFamily="2" charset="-79"/>
              <a:cs typeface="Aharoni" panose="02010803020104030203" pitchFamily="2" charset="-79"/>
            </a:rPr>
            <a:t>COURT 6 PORT</a:t>
          </a:r>
          <a:r>
            <a:rPr lang="en-US" sz="5400" b="0" cap="none" spc="0" baseline="0">
              <a:ln w="0"/>
              <a:solidFill>
                <a:schemeClr val="bg1"/>
              </a:solidFill>
              <a:effectLst>
                <a:reflection blurRad="6350" stA="53000" endA="300" endPos="35500" dir="5400000" sy="-90000" algn="bl" rotWithShape="0"/>
              </a:effectLst>
              <a:latin typeface="Aharoni" panose="02010803020104030203" pitchFamily="2" charset="-79"/>
              <a:cs typeface="Aharoni" panose="02010803020104030203" pitchFamily="2" charset="-79"/>
            </a:rPr>
            <a:t> HARCOURT </a:t>
          </a:r>
        </a:p>
        <a:p>
          <a:pPr algn="ctr"/>
          <a:r>
            <a:rPr lang="en-US" sz="5400" b="0" cap="none" spc="0" baseline="0">
              <a:ln w="0"/>
              <a:solidFill>
                <a:schemeClr val="bg1"/>
              </a:solidFill>
              <a:effectLst>
                <a:reflection blurRad="6350" stA="53000" endA="300" endPos="35500" dir="5400000" sy="-90000" algn="bl" rotWithShape="0"/>
              </a:effectLst>
              <a:latin typeface="Aharoni" panose="02010803020104030203" pitchFamily="2" charset="-79"/>
              <a:cs typeface="Aharoni" panose="02010803020104030203" pitchFamily="2" charset="-79"/>
            </a:rPr>
            <a:t>INSIGHTS FOR QUARTERLY ANALYSIS OF PERFORMANCE </a:t>
          </a:r>
          <a:endParaRPr lang="en-NG" sz="5400" b="0" cap="none" spc="0">
            <a:ln w="0"/>
            <a:solidFill>
              <a:schemeClr val="bg1"/>
            </a:solidFill>
            <a:effectLst>
              <a:reflection blurRad="6350" stA="53000" endA="300" endPos="35500" dir="5400000" sy="-90000" algn="bl" rotWithShape="0"/>
            </a:effectLst>
          </a:endParaRPr>
        </a:p>
      </xdr:txBody>
    </xdr:sp>
    <xdr:clientData/>
  </xdr:oneCellAnchor>
  <xdr:twoCellAnchor>
    <xdr:from>
      <xdr:col>2</xdr:col>
      <xdr:colOff>678916</xdr:colOff>
      <xdr:row>16</xdr:row>
      <xdr:rowOff>176058</xdr:rowOff>
    </xdr:from>
    <xdr:to>
      <xdr:col>2</xdr:col>
      <xdr:colOff>2049351</xdr:colOff>
      <xdr:row>19</xdr:row>
      <xdr:rowOff>59785</xdr:rowOff>
    </xdr:to>
    <xdr:sp macro="" textlink="C30">
      <xdr:nvSpPr>
        <xdr:cNvPr id="3" name="Rectangle: Rounded Corners 2">
          <a:extLst>
            <a:ext uri="{FF2B5EF4-FFF2-40B4-BE49-F238E27FC236}">
              <a16:creationId xmlns:a16="http://schemas.microsoft.com/office/drawing/2014/main" id="{40B1509B-374C-F69C-6822-AE50CD11616E}"/>
            </a:ext>
          </a:extLst>
        </xdr:cNvPr>
        <xdr:cNvSpPr/>
      </xdr:nvSpPr>
      <xdr:spPr>
        <a:xfrm>
          <a:off x="5459055" y="3456891"/>
          <a:ext cx="1370435" cy="518727"/>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918674A7-28EB-4A7C-8B6D-DEF1CF44D4EF}" type="TxLink">
            <a:rPr lang="en-US" sz="15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twoCellAnchor>
    <xdr:from>
      <xdr:col>1</xdr:col>
      <xdr:colOff>4130739</xdr:colOff>
      <xdr:row>6</xdr:row>
      <xdr:rowOff>97194</xdr:rowOff>
    </xdr:from>
    <xdr:to>
      <xdr:col>1</xdr:col>
      <xdr:colOff>4295968</xdr:colOff>
      <xdr:row>7</xdr:row>
      <xdr:rowOff>48598</xdr:rowOff>
    </xdr:to>
    <xdr:sp macro="" textlink="">
      <xdr:nvSpPr>
        <xdr:cNvPr id="7" name="Flowchart: Connector 6">
          <a:extLst>
            <a:ext uri="{FF2B5EF4-FFF2-40B4-BE49-F238E27FC236}">
              <a16:creationId xmlns:a16="http://schemas.microsoft.com/office/drawing/2014/main" id="{3AFA8031-C585-5213-C4CC-9C8D23E3DDE5}"/>
            </a:ext>
          </a:extLst>
        </xdr:cNvPr>
        <xdr:cNvSpPr/>
      </xdr:nvSpPr>
      <xdr:spPr>
        <a:xfrm>
          <a:off x="4130739" y="1263521"/>
          <a:ext cx="165229" cy="145791"/>
        </a:xfrm>
        <a:prstGeom prst="flowChartConnector">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3120523</xdr:colOff>
      <xdr:row>16</xdr:row>
      <xdr:rowOff>176058</xdr:rowOff>
    </xdr:from>
    <xdr:to>
      <xdr:col>3</xdr:col>
      <xdr:colOff>1351236</xdr:colOff>
      <xdr:row>19</xdr:row>
      <xdr:rowOff>59785</xdr:rowOff>
    </xdr:to>
    <xdr:sp macro="" textlink="D30">
      <xdr:nvSpPr>
        <xdr:cNvPr id="9" name="Rectangle: Rounded Corners 8">
          <a:extLst>
            <a:ext uri="{FF2B5EF4-FFF2-40B4-BE49-F238E27FC236}">
              <a16:creationId xmlns:a16="http://schemas.microsoft.com/office/drawing/2014/main" id="{2D07DEC4-85A5-00A8-ED7C-E00AB40D1CF7}"/>
            </a:ext>
          </a:extLst>
        </xdr:cNvPr>
        <xdr:cNvSpPr/>
      </xdr:nvSpPr>
      <xdr:spPr>
        <a:xfrm>
          <a:off x="7900662" y="3456891"/>
          <a:ext cx="1370435" cy="518727"/>
        </a:xfrm>
        <a:prstGeom prst="roundRect">
          <a:avLst/>
        </a:prstGeom>
        <a:solidFill>
          <a:srgbClr val="41129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7CD19DF4-91CD-4CAD-87D3-858FF90252C8}" type="TxLink">
            <a:rPr lang="en-US" sz="15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twoCellAnchor>
    <xdr:from>
      <xdr:col>4</xdr:col>
      <xdr:colOff>385116</xdr:colOff>
      <xdr:row>16</xdr:row>
      <xdr:rowOff>136371</xdr:rowOff>
    </xdr:from>
    <xdr:to>
      <xdr:col>4</xdr:col>
      <xdr:colOff>1753751</xdr:colOff>
      <xdr:row>19</xdr:row>
      <xdr:rowOff>20098</xdr:rowOff>
    </xdr:to>
    <xdr:sp macro="" textlink="E30">
      <xdr:nvSpPr>
        <xdr:cNvPr id="10" name="Rectangle: Rounded Corners 9">
          <a:extLst>
            <a:ext uri="{FF2B5EF4-FFF2-40B4-BE49-F238E27FC236}">
              <a16:creationId xmlns:a16="http://schemas.microsoft.com/office/drawing/2014/main" id="{94501A0D-6768-64C1-9D81-936C513B9DA5}"/>
            </a:ext>
          </a:extLst>
        </xdr:cNvPr>
        <xdr:cNvSpPr/>
      </xdr:nvSpPr>
      <xdr:spPr>
        <a:xfrm>
          <a:off x="13739960" y="3450277"/>
          <a:ext cx="1368635" cy="518727"/>
        </a:xfrm>
        <a:prstGeom prst="roundRect">
          <a:avLst/>
        </a:prstGeom>
        <a:solidFill>
          <a:schemeClr val="accent1">
            <a:lumMod val="50000"/>
          </a:schemeClr>
        </a:solidFill>
        <a:ln/>
      </xdr:spPr>
      <xdr:style>
        <a:lnRef idx="3">
          <a:schemeClr val="lt1"/>
        </a:lnRef>
        <a:fillRef idx="1">
          <a:schemeClr val="dk1"/>
        </a:fillRef>
        <a:effectRef idx="1">
          <a:schemeClr val="dk1"/>
        </a:effectRef>
        <a:fontRef idx="minor">
          <a:schemeClr val="lt1"/>
        </a:fontRef>
      </xdr:style>
      <xdr:txBody>
        <a:bodyPr vertOverflow="clip" horzOverflow="clip" rtlCol="0" anchor="b"/>
        <a:lstStyle/>
        <a:p>
          <a:pPr algn="ctr"/>
          <a:fld id="{7A1DE4D9-B1FF-4890-986C-C0B72638B766}" type="TxLink">
            <a:rPr lang="en-US" sz="15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twoCellAnchor>
    <xdr:from>
      <xdr:col>5</xdr:col>
      <xdr:colOff>584274</xdr:colOff>
      <xdr:row>16</xdr:row>
      <xdr:rowOff>140780</xdr:rowOff>
    </xdr:from>
    <xdr:to>
      <xdr:col>5</xdr:col>
      <xdr:colOff>1954709</xdr:colOff>
      <xdr:row>19</xdr:row>
      <xdr:rowOff>24507</xdr:rowOff>
    </xdr:to>
    <xdr:sp macro="" textlink="F30">
      <xdr:nvSpPr>
        <xdr:cNvPr id="11" name="Rectangle: Rounded Corners 10">
          <a:extLst>
            <a:ext uri="{FF2B5EF4-FFF2-40B4-BE49-F238E27FC236}">
              <a16:creationId xmlns:a16="http://schemas.microsoft.com/office/drawing/2014/main" id="{90BC0234-2B75-196A-D20C-2F143F275FF9}"/>
            </a:ext>
          </a:extLst>
        </xdr:cNvPr>
        <xdr:cNvSpPr/>
      </xdr:nvSpPr>
      <xdr:spPr>
        <a:xfrm>
          <a:off x="12719830" y="3421613"/>
          <a:ext cx="1370435" cy="518727"/>
        </a:xfrm>
        <a:prstGeom prst="roundRect">
          <a:avLst/>
        </a:prstGeom>
        <a:solidFill>
          <a:srgbClr val="192C4F"/>
        </a:solidFill>
        <a:ln/>
      </xdr:spPr>
      <xdr:style>
        <a:lnRef idx="3">
          <a:schemeClr val="lt1"/>
        </a:lnRef>
        <a:fillRef idx="1">
          <a:schemeClr val="dk1"/>
        </a:fillRef>
        <a:effectRef idx="1">
          <a:schemeClr val="dk1"/>
        </a:effectRef>
        <a:fontRef idx="minor">
          <a:schemeClr val="lt1"/>
        </a:fontRef>
      </xdr:style>
      <xdr:txBody>
        <a:bodyPr vertOverflow="clip" horzOverflow="clip" rtlCol="0" anchor="b"/>
        <a:lstStyle/>
        <a:p>
          <a:pPr algn="ctr"/>
          <a:fld id="{54F024C9-C7E0-4158-8115-AB36EE80A818}" type="TxLink">
            <a:rPr lang="en-US" sz="15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oneCellAnchor>
    <xdr:from>
      <xdr:col>2</xdr:col>
      <xdr:colOff>770711</xdr:colOff>
      <xdr:row>16</xdr:row>
      <xdr:rowOff>187188</xdr:rowOff>
    </xdr:from>
    <xdr:ext cx="351058" cy="264560"/>
    <xdr:sp macro="" textlink="">
      <xdr:nvSpPr>
        <xdr:cNvPr id="12" name="TextBox 11">
          <a:extLst>
            <a:ext uri="{FF2B5EF4-FFF2-40B4-BE49-F238E27FC236}">
              <a16:creationId xmlns:a16="http://schemas.microsoft.com/office/drawing/2014/main" id="{CA842A8E-414C-C659-4F13-6E4675080E6B}"/>
            </a:ext>
          </a:extLst>
        </xdr:cNvPr>
        <xdr:cNvSpPr txBox="1"/>
      </xdr:nvSpPr>
      <xdr:spPr>
        <a:xfrm>
          <a:off x="5550850" y="3468021"/>
          <a:ext cx="3510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Q1</a:t>
          </a:r>
          <a:endParaRPr lang="en-NG" sz="1100">
            <a:solidFill>
              <a:schemeClr val="bg1"/>
            </a:solidFill>
          </a:endParaRPr>
        </a:p>
      </xdr:txBody>
    </xdr:sp>
    <xdr:clientData/>
  </xdr:oneCellAnchor>
  <xdr:oneCellAnchor>
    <xdr:from>
      <xdr:col>3</xdr:col>
      <xdr:colOff>99220</xdr:colOff>
      <xdr:row>16</xdr:row>
      <xdr:rowOff>238124</xdr:rowOff>
    </xdr:from>
    <xdr:ext cx="476250" cy="264560"/>
    <xdr:sp macro="" textlink="">
      <xdr:nvSpPr>
        <xdr:cNvPr id="13" name="TextBox 12">
          <a:extLst>
            <a:ext uri="{FF2B5EF4-FFF2-40B4-BE49-F238E27FC236}">
              <a16:creationId xmlns:a16="http://schemas.microsoft.com/office/drawing/2014/main" id="{AAB2AA52-FB5B-B36F-89B7-6844164003F9}"/>
            </a:ext>
          </a:extLst>
        </xdr:cNvPr>
        <xdr:cNvSpPr txBox="1"/>
      </xdr:nvSpPr>
      <xdr:spPr>
        <a:xfrm>
          <a:off x="11509376" y="3552030"/>
          <a:ext cx="476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Q2</a:t>
          </a:r>
          <a:endParaRPr lang="en-NG" sz="1100">
            <a:solidFill>
              <a:schemeClr val="bg1"/>
            </a:solidFill>
          </a:endParaRPr>
        </a:p>
      </xdr:txBody>
    </xdr:sp>
    <xdr:clientData/>
  </xdr:oneCellAnchor>
  <xdr:oneCellAnchor>
    <xdr:from>
      <xdr:col>4</xdr:col>
      <xdr:colOff>430982</xdr:colOff>
      <xdr:row>16</xdr:row>
      <xdr:rowOff>186288</xdr:rowOff>
    </xdr:from>
    <xdr:ext cx="351058" cy="264560"/>
    <xdr:sp macro="" textlink="">
      <xdr:nvSpPr>
        <xdr:cNvPr id="14" name="TextBox 13">
          <a:extLst>
            <a:ext uri="{FF2B5EF4-FFF2-40B4-BE49-F238E27FC236}">
              <a16:creationId xmlns:a16="http://schemas.microsoft.com/office/drawing/2014/main" id="{251F193C-853C-35A8-4E23-B8116BCF1399}"/>
            </a:ext>
          </a:extLst>
        </xdr:cNvPr>
        <xdr:cNvSpPr txBox="1"/>
      </xdr:nvSpPr>
      <xdr:spPr>
        <a:xfrm>
          <a:off x="13785826" y="3500194"/>
          <a:ext cx="3510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Q3</a:t>
          </a:r>
          <a:endParaRPr lang="en-NG" sz="1100">
            <a:solidFill>
              <a:schemeClr val="bg1"/>
            </a:solidFill>
          </a:endParaRPr>
        </a:p>
      </xdr:txBody>
    </xdr:sp>
    <xdr:clientData/>
  </xdr:oneCellAnchor>
  <xdr:oneCellAnchor>
    <xdr:from>
      <xdr:col>5</xdr:col>
      <xdr:colOff>626676</xdr:colOff>
      <xdr:row>16</xdr:row>
      <xdr:rowOff>235229</xdr:rowOff>
    </xdr:from>
    <xdr:ext cx="351058" cy="272142"/>
    <xdr:sp macro="" textlink="">
      <xdr:nvSpPr>
        <xdr:cNvPr id="15" name="TextBox 14">
          <a:extLst>
            <a:ext uri="{FF2B5EF4-FFF2-40B4-BE49-F238E27FC236}">
              <a16:creationId xmlns:a16="http://schemas.microsoft.com/office/drawing/2014/main" id="{878504A9-942E-47BD-E34B-464911E033C5}"/>
            </a:ext>
          </a:extLst>
        </xdr:cNvPr>
        <xdr:cNvSpPr txBox="1"/>
      </xdr:nvSpPr>
      <xdr:spPr>
        <a:xfrm>
          <a:off x="16243707" y="3549135"/>
          <a:ext cx="351058" cy="2721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solidFill>
            </a:rPr>
            <a:t>Q4</a:t>
          </a:r>
          <a:endParaRPr lang="en-NG" sz="1100">
            <a:solidFill>
              <a:schemeClr val="bg1"/>
            </a:solidFill>
          </a:endParaRPr>
        </a:p>
      </xdr:txBody>
    </xdr:sp>
    <xdr:clientData/>
  </xdr:oneCellAnchor>
  <xdr:twoCellAnchor>
    <xdr:from>
      <xdr:col>2</xdr:col>
      <xdr:colOff>901873</xdr:colOff>
      <xdr:row>34</xdr:row>
      <xdr:rowOff>107791</xdr:rowOff>
    </xdr:from>
    <xdr:to>
      <xdr:col>2</xdr:col>
      <xdr:colOff>2272308</xdr:colOff>
      <xdr:row>37</xdr:row>
      <xdr:rowOff>39755</xdr:rowOff>
    </xdr:to>
    <xdr:sp macro="" textlink="C48">
      <xdr:nvSpPr>
        <xdr:cNvPr id="16" name="Rectangle: Rounded Corners 15">
          <a:extLst>
            <a:ext uri="{FF2B5EF4-FFF2-40B4-BE49-F238E27FC236}">
              <a16:creationId xmlns:a16="http://schemas.microsoft.com/office/drawing/2014/main" id="{7941CACD-63D3-67FD-68D7-D242E8002071}"/>
            </a:ext>
          </a:extLst>
        </xdr:cNvPr>
        <xdr:cNvSpPr/>
      </xdr:nvSpPr>
      <xdr:spPr>
        <a:xfrm>
          <a:off x="5682012" y="7163347"/>
          <a:ext cx="1370435" cy="514047"/>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E8CFD46B-F8EB-4517-8878-11D1B062BB3F}" type="TxLink">
            <a:rPr lang="en-US" sz="14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twoCellAnchor>
    <xdr:from>
      <xdr:col>3</xdr:col>
      <xdr:colOff>158890</xdr:colOff>
      <xdr:row>34</xdr:row>
      <xdr:rowOff>107791</xdr:rowOff>
    </xdr:from>
    <xdr:to>
      <xdr:col>3</xdr:col>
      <xdr:colOff>1529325</xdr:colOff>
      <xdr:row>37</xdr:row>
      <xdr:rowOff>39755</xdr:rowOff>
    </xdr:to>
    <xdr:sp macro="" textlink="D48">
      <xdr:nvSpPr>
        <xdr:cNvPr id="17" name="Rectangle: Rounded Corners 16">
          <a:extLst>
            <a:ext uri="{FF2B5EF4-FFF2-40B4-BE49-F238E27FC236}">
              <a16:creationId xmlns:a16="http://schemas.microsoft.com/office/drawing/2014/main" id="{30FEFB5B-33E9-936E-EE97-3E3655B90B81}"/>
            </a:ext>
          </a:extLst>
        </xdr:cNvPr>
        <xdr:cNvSpPr/>
      </xdr:nvSpPr>
      <xdr:spPr>
        <a:xfrm>
          <a:off x="8078751" y="7163347"/>
          <a:ext cx="1370435" cy="514047"/>
        </a:xfrm>
        <a:prstGeom prst="roundRect">
          <a:avLst/>
        </a:prstGeom>
        <a:ln>
          <a:noFill/>
        </a:ln>
      </xdr:spPr>
      <xdr:style>
        <a:lnRef idx="0">
          <a:scrgbClr r="0" g="0" b="0"/>
        </a:lnRef>
        <a:fillRef idx="1002">
          <a:schemeClr val="dk2"/>
        </a:fillRef>
        <a:effectRef idx="0">
          <a:scrgbClr r="0" g="0" b="0"/>
        </a:effectRef>
        <a:fontRef idx="minor">
          <a:schemeClr val="lt1"/>
        </a:fontRef>
      </xdr:style>
      <xdr:txBody>
        <a:bodyPr vertOverflow="clip" horzOverflow="clip" rtlCol="0" anchor="b"/>
        <a:lstStyle/>
        <a:p>
          <a:pPr algn="ctr"/>
          <a:fld id="{9F39C15C-8430-40B4-B905-EBAC7A6B5D92}" type="TxLink">
            <a:rPr lang="en-US" sz="14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twoCellAnchor>
    <xdr:from>
      <xdr:col>4</xdr:col>
      <xdr:colOff>597712</xdr:colOff>
      <xdr:row>34</xdr:row>
      <xdr:rowOff>107791</xdr:rowOff>
    </xdr:from>
    <xdr:to>
      <xdr:col>4</xdr:col>
      <xdr:colOff>1968147</xdr:colOff>
      <xdr:row>37</xdr:row>
      <xdr:rowOff>39755</xdr:rowOff>
    </xdr:to>
    <xdr:sp macro="" textlink="E48">
      <xdr:nvSpPr>
        <xdr:cNvPr id="18" name="Rectangle: Rounded Corners 17">
          <a:extLst>
            <a:ext uri="{FF2B5EF4-FFF2-40B4-BE49-F238E27FC236}">
              <a16:creationId xmlns:a16="http://schemas.microsoft.com/office/drawing/2014/main" id="{9B9698C4-8796-3B7A-F11D-43C05BDC40EA}"/>
            </a:ext>
          </a:extLst>
        </xdr:cNvPr>
        <xdr:cNvSpPr/>
      </xdr:nvSpPr>
      <xdr:spPr>
        <a:xfrm>
          <a:off x="10475490" y="7163347"/>
          <a:ext cx="1370435" cy="51404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586ED9A8-4B38-441B-B359-70022187B002}" type="TxLink">
            <a:rPr lang="en-US" sz="14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twoCellAnchor>
    <xdr:from>
      <xdr:col>5</xdr:col>
      <xdr:colOff>736674</xdr:colOff>
      <xdr:row>34</xdr:row>
      <xdr:rowOff>107791</xdr:rowOff>
    </xdr:from>
    <xdr:to>
      <xdr:col>5</xdr:col>
      <xdr:colOff>2107109</xdr:colOff>
      <xdr:row>37</xdr:row>
      <xdr:rowOff>39755</xdr:rowOff>
    </xdr:to>
    <xdr:sp macro="" textlink="F48">
      <xdr:nvSpPr>
        <xdr:cNvPr id="19" name="Rectangle: Rounded Corners 18">
          <a:extLst>
            <a:ext uri="{FF2B5EF4-FFF2-40B4-BE49-F238E27FC236}">
              <a16:creationId xmlns:a16="http://schemas.microsoft.com/office/drawing/2014/main" id="{F3801CF8-4CE2-370A-CB92-3D8EEB8A917B}"/>
            </a:ext>
          </a:extLst>
        </xdr:cNvPr>
        <xdr:cNvSpPr/>
      </xdr:nvSpPr>
      <xdr:spPr>
        <a:xfrm>
          <a:off x="12872230" y="7163347"/>
          <a:ext cx="1370435" cy="514047"/>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3BD086F0-CF18-41C9-AA1E-9FEA09E46EEC}" type="TxLink">
            <a:rPr lang="en-US" sz="15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oneCellAnchor>
    <xdr:from>
      <xdr:col>2</xdr:col>
      <xdr:colOff>818588</xdr:colOff>
      <xdr:row>34</xdr:row>
      <xdr:rowOff>139670</xdr:rowOff>
    </xdr:from>
    <xdr:ext cx="351058" cy="264560"/>
    <xdr:sp macro="" textlink="">
      <xdr:nvSpPr>
        <xdr:cNvPr id="20" name="TextBox 19">
          <a:extLst>
            <a:ext uri="{FF2B5EF4-FFF2-40B4-BE49-F238E27FC236}">
              <a16:creationId xmlns:a16="http://schemas.microsoft.com/office/drawing/2014/main" id="{B664D2E9-CEE1-DABC-F271-01D4F0289195}"/>
            </a:ext>
          </a:extLst>
        </xdr:cNvPr>
        <xdr:cNvSpPr txBox="1"/>
      </xdr:nvSpPr>
      <xdr:spPr>
        <a:xfrm>
          <a:off x="5598727" y="7195226"/>
          <a:ext cx="3510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Q1</a:t>
          </a:r>
          <a:endParaRPr lang="en-NG" sz="1100">
            <a:solidFill>
              <a:schemeClr val="bg1"/>
            </a:solidFill>
          </a:endParaRPr>
        </a:p>
      </xdr:txBody>
    </xdr:sp>
    <xdr:clientData/>
  </xdr:oneCellAnchor>
  <xdr:oneCellAnchor>
    <xdr:from>
      <xdr:col>3</xdr:col>
      <xdr:colOff>171251</xdr:colOff>
      <xdr:row>34</xdr:row>
      <xdr:rowOff>109062</xdr:rowOff>
    </xdr:from>
    <xdr:ext cx="351058" cy="264560"/>
    <xdr:sp macro="" textlink="">
      <xdr:nvSpPr>
        <xdr:cNvPr id="21" name="TextBox 20">
          <a:extLst>
            <a:ext uri="{FF2B5EF4-FFF2-40B4-BE49-F238E27FC236}">
              <a16:creationId xmlns:a16="http://schemas.microsoft.com/office/drawing/2014/main" id="{5F5C0EB5-D8D3-443E-AAA3-DEC6A06390BA}"/>
            </a:ext>
          </a:extLst>
        </xdr:cNvPr>
        <xdr:cNvSpPr txBox="1"/>
      </xdr:nvSpPr>
      <xdr:spPr>
        <a:xfrm>
          <a:off x="8091112" y="7164618"/>
          <a:ext cx="3510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1100">
              <a:solidFill>
                <a:schemeClr val="bg1"/>
              </a:solidFill>
            </a:rPr>
            <a:t>Q2</a:t>
          </a:r>
          <a:endParaRPr lang="en-NG" sz="1100">
            <a:solidFill>
              <a:schemeClr val="bg1"/>
            </a:solidFill>
          </a:endParaRPr>
        </a:p>
      </xdr:txBody>
    </xdr:sp>
    <xdr:clientData/>
  </xdr:oneCellAnchor>
  <xdr:oneCellAnchor>
    <xdr:from>
      <xdr:col>4</xdr:col>
      <xdr:colOff>569515</xdr:colOff>
      <xdr:row>34</xdr:row>
      <xdr:rowOff>54875</xdr:rowOff>
    </xdr:from>
    <xdr:ext cx="351058" cy="264560"/>
    <xdr:sp macro="" textlink="">
      <xdr:nvSpPr>
        <xdr:cNvPr id="22" name="TextBox 21">
          <a:extLst>
            <a:ext uri="{FF2B5EF4-FFF2-40B4-BE49-F238E27FC236}">
              <a16:creationId xmlns:a16="http://schemas.microsoft.com/office/drawing/2014/main" id="{7946B202-FECA-4B86-8DA7-51AC8D8DEFD0}"/>
            </a:ext>
          </a:extLst>
        </xdr:cNvPr>
        <xdr:cNvSpPr txBox="1"/>
      </xdr:nvSpPr>
      <xdr:spPr>
        <a:xfrm>
          <a:off x="10447293" y="7110431"/>
          <a:ext cx="3510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Q3</a:t>
          </a:r>
          <a:endParaRPr lang="en-NG" sz="1100">
            <a:solidFill>
              <a:schemeClr val="bg1"/>
            </a:solidFill>
          </a:endParaRPr>
        </a:p>
      </xdr:txBody>
    </xdr:sp>
    <xdr:clientData/>
  </xdr:oneCellAnchor>
  <xdr:oneCellAnchor>
    <xdr:from>
      <xdr:col>5</xdr:col>
      <xdr:colOff>719035</xdr:colOff>
      <xdr:row>34</xdr:row>
      <xdr:rowOff>90153</xdr:rowOff>
    </xdr:from>
    <xdr:ext cx="351058" cy="264560"/>
    <xdr:sp macro="" textlink="">
      <xdr:nvSpPr>
        <xdr:cNvPr id="23" name="TextBox 22">
          <a:extLst>
            <a:ext uri="{FF2B5EF4-FFF2-40B4-BE49-F238E27FC236}">
              <a16:creationId xmlns:a16="http://schemas.microsoft.com/office/drawing/2014/main" id="{B38B6375-8E00-43AC-A5C0-EB437B389490}"/>
            </a:ext>
          </a:extLst>
        </xdr:cNvPr>
        <xdr:cNvSpPr txBox="1"/>
      </xdr:nvSpPr>
      <xdr:spPr>
        <a:xfrm>
          <a:off x="12854591" y="7145709"/>
          <a:ext cx="3510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Q4</a:t>
          </a:r>
          <a:endParaRPr lang="en-NG" sz="1100">
            <a:solidFill>
              <a:schemeClr val="bg1"/>
            </a:solidFill>
          </a:endParaRPr>
        </a:p>
      </xdr:txBody>
    </xdr:sp>
    <xdr:clientData/>
  </xdr:oneCellAnchor>
  <xdr:twoCellAnchor editAs="oneCell">
    <xdr:from>
      <xdr:col>0</xdr:col>
      <xdr:colOff>39688</xdr:colOff>
      <xdr:row>0</xdr:row>
      <xdr:rowOff>39686</xdr:rowOff>
    </xdr:from>
    <xdr:to>
      <xdr:col>1</xdr:col>
      <xdr:colOff>1</xdr:colOff>
      <xdr:row>14</xdr:row>
      <xdr:rowOff>99217</xdr:rowOff>
    </xdr:to>
    <xdr:pic>
      <xdr:nvPicPr>
        <xdr:cNvPr id="25" name="Picture 24" descr="Scales of justice on blue background">
          <a:extLst>
            <a:ext uri="{FF2B5EF4-FFF2-40B4-BE49-F238E27FC236}">
              <a16:creationId xmlns:a16="http://schemas.microsoft.com/office/drawing/2014/main" id="{AFD5A706-7A8E-57DC-2DA3-7FC74AB72C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688" y="39686"/>
          <a:ext cx="3452813" cy="2897187"/>
        </a:xfrm>
        <a:prstGeom prst="rect">
          <a:avLst/>
        </a:prstGeom>
      </xdr:spPr>
    </xdr:pic>
    <xdr:clientData/>
  </xdr:twoCellAnchor>
  <xdr:twoCellAnchor editAs="oneCell">
    <xdr:from>
      <xdr:col>0</xdr:col>
      <xdr:colOff>1984375</xdr:colOff>
      <xdr:row>0</xdr:row>
      <xdr:rowOff>39690</xdr:rowOff>
    </xdr:from>
    <xdr:to>
      <xdr:col>0</xdr:col>
      <xdr:colOff>3472656</xdr:colOff>
      <xdr:row>6</xdr:row>
      <xdr:rowOff>39688</xdr:rowOff>
    </xdr:to>
    <xdr:pic>
      <xdr:nvPicPr>
        <xdr:cNvPr id="8" name="Picture 7" descr="Woman using cell phone at digital data science display">
          <a:extLst>
            <a:ext uri="{FF2B5EF4-FFF2-40B4-BE49-F238E27FC236}">
              <a16:creationId xmlns:a16="http://schemas.microsoft.com/office/drawing/2014/main" id="{E1C025C5-0B97-993D-3B02-B6E145D2B63F}"/>
            </a:ext>
          </a:extLst>
        </xdr:cNvPr>
        <xdr:cNvPicPr>
          <a:picLocks noChangeAspect="1"/>
        </xdr:cNvPicPr>
      </xdr:nvPicPr>
      <xdr:blipFill>
        <a:blip xmlns:r="http://schemas.openxmlformats.org/officeDocument/2006/relationships" r:embed="rId3" cstate="print">
          <a:alphaModFix amt="50000"/>
          <a:extLst>
            <a:ext uri="{28A0092B-C50C-407E-A947-70E740481C1C}">
              <a14:useLocalDpi xmlns:a14="http://schemas.microsoft.com/office/drawing/2010/main" val="0"/>
            </a:ext>
          </a:extLst>
        </a:blip>
        <a:stretch>
          <a:fillRect/>
        </a:stretch>
      </xdr:blipFill>
      <xdr:spPr>
        <a:xfrm>
          <a:off x="1984375" y="39690"/>
          <a:ext cx="1488281" cy="1190623"/>
        </a:xfrm>
        <a:prstGeom prst="rect">
          <a:avLst/>
        </a:prstGeom>
      </xdr:spPr>
    </xdr:pic>
    <xdr:clientData/>
  </xdr:twoCellAnchor>
  <xdr:twoCellAnchor>
    <xdr:from>
      <xdr:col>2</xdr:col>
      <xdr:colOff>39687</xdr:colOff>
      <xdr:row>52</xdr:row>
      <xdr:rowOff>60325</xdr:rowOff>
    </xdr:from>
    <xdr:to>
      <xdr:col>2</xdr:col>
      <xdr:colOff>1428750</xdr:colOff>
      <xdr:row>54</xdr:row>
      <xdr:rowOff>258763</xdr:rowOff>
    </xdr:to>
    <xdr:sp macro="" textlink="C67">
      <xdr:nvSpPr>
        <xdr:cNvPr id="26" name="Hexagon 25">
          <a:extLst>
            <a:ext uri="{FF2B5EF4-FFF2-40B4-BE49-F238E27FC236}">
              <a16:creationId xmlns:a16="http://schemas.microsoft.com/office/drawing/2014/main" id="{D0D7431C-A125-A305-265F-7864F7E6D9F6}"/>
            </a:ext>
          </a:extLst>
        </xdr:cNvPr>
        <xdr:cNvSpPr/>
      </xdr:nvSpPr>
      <xdr:spPr>
        <a:xfrm>
          <a:off x="8314531" y="11311731"/>
          <a:ext cx="1389063" cy="754063"/>
        </a:xfrm>
        <a:prstGeom prst="hexagon">
          <a:avLst/>
        </a:prstGeom>
        <a:solidFill>
          <a:schemeClr val="bg1">
            <a:lumMod val="50000"/>
          </a:schemeClr>
        </a:solidFill>
        <a:ln>
          <a:solidFill>
            <a:srgbClr val="E2A7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3AC8978-D97A-4259-B11D-54D10B101721}" type="TxLink">
            <a:rPr lang="en-US" sz="1800" b="1" i="0" u="none" strike="noStrike">
              <a:solidFill>
                <a:schemeClr val="bg1"/>
              </a:solidFill>
              <a:latin typeface="Calibri"/>
              <a:ea typeface="Calibri"/>
              <a:cs typeface="Calibri"/>
            </a:rPr>
            <a:pPr algn="ctr"/>
            <a:t>0</a:t>
          </a:fld>
          <a:endParaRPr lang="en-US" sz="1800">
            <a:solidFill>
              <a:schemeClr val="bg1"/>
            </a:solidFill>
          </a:endParaRPr>
        </a:p>
      </xdr:txBody>
    </xdr:sp>
    <xdr:clientData/>
  </xdr:twoCellAnchor>
  <xdr:twoCellAnchor>
    <xdr:from>
      <xdr:col>3</xdr:col>
      <xdr:colOff>26722</xdr:colOff>
      <xdr:row>52</xdr:row>
      <xdr:rowOff>40481</xdr:rowOff>
    </xdr:from>
    <xdr:to>
      <xdr:col>3</xdr:col>
      <xdr:colOff>1415785</xdr:colOff>
      <xdr:row>54</xdr:row>
      <xdr:rowOff>238919</xdr:rowOff>
    </xdr:to>
    <xdr:sp macro="" textlink="D67">
      <xdr:nvSpPr>
        <xdr:cNvPr id="27" name="Hexagon 26">
          <a:extLst>
            <a:ext uri="{FF2B5EF4-FFF2-40B4-BE49-F238E27FC236}">
              <a16:creationId xmlns:a16="http://schemas.microsoft.com/office/drawing/2014/main" id="{F9AFB81C-CD94-170A-0BE3-F5EEA9C63FB6}"/>
            </a:ext>
          </a:extLst>
        </xdr:cNvPr>
        <xdr:cNvSpPr/>
      </xdr:nvSpPr>
      <xdr:spPr>
        <a:xfrm>
          <a:off x="11436878" y="11291887"/>
          <a:ext cx="1389063" cy="754063"/>
        </a:xfrm>
        <a:prstGeom prst="hexagon">
          <a:avLst/>
        </a:prstGeom>
        <a:solidFill>
          <a:schemeClr val="tx2">
            <a:lumMod val="60000"/>
            <a:lumOff val="40000"/>
          </a:schemeClr>
        </a:solidFill>
        <a:ln>
          <a:solidFill>
            <a:srgbClr val="E2A7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92530C2-9344-4061-8653-7285FA0AD3ED}" type="TxLink">
            <a:rPr lang="en-US" sz="1800" b="1" i="0" u="none" strike="noStrike">
              <a:solidFill>
                <a:schemeClr val="bg1"/>
              </a:solidFill>
              <a:latin typeface="Calibri"/>
              <a:ea typeface="Calibri"/>
              <a:cs typeface="Calibri"/>
            </a:rPr>
            <a:pPr algn="ctr"/>
            <a:t>0</a:t>
          </a:fld>
          <a:endParaRPr lang="en-US" sz="1800">
            <a:solidFill>
              <a:schemeClr val="bg1"/>
            </a:solidFill>
          </a:endParaRPr>
        </a:p>
      </xdr:txBody>
    </xdr:sp>
    <xdr:clientData/>
  </xdr:twoCellAnchor>
  <xdr:twoCellAnchor>
    <xdr:from>
      <xdr:col>4</xdr:col>
      <xdr:colOff>1680631</xdr:colOff>
      <xdr:row>52</xdr:row>
      <xdr:rowOff>80169</xdr:rowOff>
    </xdr:from>
    <xdr:to>
      <xdr:col>4</xdr:col>
      <xdr:colOff>3069694</xdr:colOff>
      <xdr:row>55</xdr:row>
      <xdr:rowOff>794</xdr:rowOff>
    </xdr:to>
    <xdr:sp macro="" textlink="E67">
      <xdr:nvSpPr>
        <xdr:cNvPr id="28" name="Hexagon 27">
          <a:extLst>
            <a:ext uri="{FF2B5EF4-FFF2-40B4-BE49-F238E27FC236}">
              <a16:creationId xmlns:a16="http://schemas.microsoft.com/office/drawing/2014/main" id="{C8597A49-E033-1D83-0AD4-048FFA69028E}"/>
            </a:ext>
          </a:extLst>
        </xdr:cNvPr>
        <xdr:cNvSpPr/>
      </xdr:nvSpPr>
      <xdr:spPr>
        <a:xfrm>
          <a:off x="15035475" y="11331575"/>
          <a:ext cx="1389063" cy="754063"/>
        </a:xfrm>
        <a:prstGeom prst="hexagon">
          <a:avLst/>
        </a:prstGeom>
        <a:solidFill>
          <a:schemeClr val="accent5">
            <a:lumMod val="60000"/>
            <a:lumOff val="40000"/>
          </a:schemeClr>
        </a:solidFill>
        <a:ln>
          <a:solidFill>
            <a:srgbClr val="E2A7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0701B94-B7F0-485B-83DC-89BDF7E20448}" type="TxLink">
            <a:rPr lang="en-US" sz="1800" b="1" i="0" u="none" strike="noStrike">
              <a:solidFill>
                <a:schemeClr val="bg1"/>
              </a:solidFill>
              <a:latin typeface="+mn-lt"/>
              <a:ea typeface="Calibri"/>
              <a:cs typeface="Calibri"/>
            </a:rPr>
            <a:pPr algn="ctr"/>
            <a:t>0</a:t>
          </a:fld>
          <a:endParaRPr lang="en-US" sz="1800">
            <a:solidFill>
              <a:schemeClr val="bg1"/>
            </a:solidFill>
            <a:latin typeface="+mn-lt"/>
          </a:endParaRPr>
        </a:p>
      </xdr:txBody>
    </xdr:sp>
    <xdr:clientData/>
  </xdr:twoCellAnchor>
  <xdr:twoCellAnchor>
    <xdr:from>
      <xdr:col>5</xdr:col>
      <xdr:colOff>1270793</xdr:colOff>
      <xdr:row>52</xdr:row>
      <xdr:rowOff>80169</xdr:rowOff>
    </xdr:from>
    <xdr:to>
      <xdr:col>5</xdr:col>
      <xdr:colOff>2659856</xdr:colOff>
      <xdr:row>55</xdr:row>
      <xdr:rowOff>794</xdr:rowOff>
    </xdr:to>
    <xdr:sp macro="" textlink="F67">
      <xdr:nvSpPr>
        <xdr:cNvPr id="29" name="Hexagon 28">
          <a:extLst>
            <a:ext uri="{FF2B5EF4-FFF2-40B4-BE49-F238E27FC236}">
              <a16:creationId xmlns:a16="http://schemas.microsoft.com/office/drawing/2014/main" id="{2B1EED20-7F96-7C59-D491-2274BF3A6EE1}"/>
            </a:ext>
          </a:extLst>
        </xdr:cNvPr>
        <xdr:cNvSpPr/>
      </xdr:nvSpPr>
      <xdr:spPr>
        <a:xfrm>
          <a:off x="16887824" y="11331575"/>
          <a:ext cx="1389063" cy="754063"/>
        </a:xfrm>
        <a:prstGeom prst="hexagon">
          <a:avLst/>
        </a:prstGeom>
        <a:ln>
          <a:solidFill>
            <a:srgbClr val="E2A7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9BE42F-6EF2-4ED8-B3CD-D0DD6156FA7E}" type="TxLink">
            <a:rPr lang="en-US" sz="1800" b="1" i="0" u="none" strike="noStrike">
              <a:solidFill>
                <a:schemeClr val="bg1"/>
              </a:solidFill>
              <a:latin typeface="Calibri"/>
              <a:ea typeface="Calibri"/>
              <a:cs typeface="Calibri"/>
            </a:rPr>
            <a:pPr algn="ctr"/>
            <a:t>0</a:t>
          </a:fld>
          <a:endParaRPr lang="en-US" sz="1800">
            <a:solidFill>
              <a:schemeClr val="bg1"/>
            </a:solidFill>
          </a:endParaRPr>
        </a:p>
      </xdr:txBody>
    </xdr:sp>
    <xdr:clientData/>
  </xdr:twoCellAnchor>
  <xdr:twoCellAnchor>
    <xdr:from>
      <xdr:col>2</xdr:col>
      <xdr:colOff>294452</xdr:colOff>
      <xdr:row>73</xdr:row>
      <xdr:rowOff>98271</xdr:rowOff>
    </xdr:from>
    <xdr:to>
      <xdr:col>2</xdr:col>
      <xdr:colOff>1664887</xdr:colOff>
      <xdr:row>76</xdr:row>
      <xdr:rowOff>85907</xdr:rowOff>
    </xdr:to>
    <xdr:sp macro="" textlink="C86">
      <xdr:nvSpPr>
        <xdr:cNvPr id="6" name="Rectangle: Rounded Corners 5">
          <a:extLst>
            <a:ext uri="{FF2B5EF4-FFF2-40B4-BE49-F238E27FC236}">
              <a16:creationId xmlns:a16="http://schemas.microsoft.com/office/drawing/2014/main" id="{4B9E6767-A280-E56A-3CF8-D1CFD66E75A0}"/>
            </a:ext>
          </a:extLst>
        </xdr:cNvPr>
        <xdr:cNvSpPr/>
      </xdr:nvSpPr>
      <xdr:spPr>
        <a:xfrm>
          <a:off x="8555225" y="16810316"/>
          <a:ext cx="1370435" cy="559136"/>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F89890A0-7D15-4B1F-BF9A-E31A3990A37A}" type="TxLink">
            <a:rPr lang="en-US" sz="1600" b="0" i="0" u="none" strike="noStrike">
              <a:solidFill>
                <a:schemeClr val="bg1"/>
              </a:solidFill>
              <a:latin typeface="Calibri"/>
              <a:ea typeface="Calibri"/>
              <a:cs typeface="Calibri"/>
            </a:rPr>
            <a:pPr algn="ctr"/>
            <a:t>0</a:t>
          </a:fld>
          <a:endParaRPr lang="en-US" sz="1600" b="0">
            <a:solidFill>
              <a:schemeClr val="bg1"/>
            </a:solidFill>
            <a:latin typeface="Bodoni MT Black" panose="02070A03080606020203" pitchFamily="18" charset="0"/>
          </a:endParaRPr>
        </a:p>
      </xdr:txBody>
    </xdr:sp>
    <xdr:clientData/>
  </xdr:twoCellAnchor>
  <xdr:twoCellAnchor>
    <xdr:from>
      <xdr:col>2</xdr:col>
      <xdr:colOff>2978397</xdr:colOff>
      <xdr:row>73</xdr:row>
      <xdr:rowOff>98271</xdr:rowOff>
    </xdr:from>
    <xdr:to>
      <xdr:col>3</xdr:col>
      <xdr:colOff>1209110</xdr:colOff>
      <xdr:row>76</xdr:row>
      <xdr:rowOff>85907</xdr:rowOff>
    </xdr:to>
    <xdr:sp macro="" textlink="D86">
      <xdr:nvSpPr>
        <xdr:cNvPr id="24" name="Rectangle: Rounded Corners 23">
          <a:extLst>
            <a:ext uri="{FF2B5EF4-FFF2-40B4-BE49-F238E27FC236}">
              <a16:creationId xmlns:a16="http://schemas.microsoft.com/office/drawing/2014/main" id="{51294A42-72B5-2BD1-66DA-B2BD6A26BEDA}"/>
            </a:ext>
          </a:extLst>
        </xdr:cNvPr>
        <xdr:cNvSpPr/>
      </xdr:nvSpPr>
      <xdr:spPr>
        <a:xfrm>
          <a:off x="11239170" y="16810316"/>
          <a:ext cx="1382622" cy="559136"/>
        </a:xfrm>
        <a:prstGeom prst="roundRect">
          <a:avLst/>
        </a:prstGeom>
        <a:solidFill>
          <a:srgbClr val="41129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5B251085-7965-4987-896F-31875DE99257}" type="TxLink">
            <a:rPr lang="en-US" sz="16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twoCellAnchor>
    <xdr:from>
      <xdr:col>4</xdr:col>
      <xdr:colOff>565666</xdr:colOff>
      <xdr:row>73</xdr:row>
      <xdr:rowOff>98271</xdr:rowOff>
    </xdr:from>
    <xdr:to>
      <xdr:col>4</xdr:col>
      <xdr:colOff>1934301</xdr:colOff>
      <xdr:row>76</xdr:row>
      <xdr:rowOff>85907</xdr:rowOff>
    </xdr:to>
    <xdr:sp macro="" textlink="E86">
      <xdr:nvSpPr>
        <xdr:cNvPr id="30" name="Rectangle: Rounded Corners 29">
          <a:extLst>
            <a:ext uri="{FF2B5EF4-FFF2-40B4-BE49-F238E27FC236}">
              <a16:creationId xmlns:a16="http://schemas.microsoft.com/office/drawing/2014/main" id="{29762798-E2C3-FDF1-B994-7F355E059607}"/>
            </a:ext>
          </a:extLst>
        </xdr:cNvPr>
        <xdr:cNvSpPr/>
      </xdr:nvSpPr>
      <xdr:spPr>
        <a:xfrm>
          <a:off x="13935302" y="16810316"/>
          <a:ext cx="1368635" cy="559136"/>
        </a:xfrm>
        <a:prstGeom prst="roundRect">
          <a:avLst/>
        </a:prstGeom>
        <a:solidFill>
          <a:schemeClr val="accent1">
            <a:lumMod val="50000"/>
          </a:schemeClr>
        </a:solidFill>
        <a:ln/>
      </xdr:spPr>
      <xdr:style>
        <a:lnRef idx="3">
          <a:schemeClr val="lt1"/>
        </a:lnRef>
        <a:fillRef idx="1">
          <a:schemeClr val="dk1"/>
        </a:fillRef>
        <a:effectRef idx="1">
          <a:schemeClr val="dk1"/>
        </a:effectRef>
        <a:fontRef idx="minor">
          <a:schemeClr val="lt1"/>
        </a:fontRef>
      </xdr:style>
      <xdr:txBody>
        <a:bodyPr vertOverflow="clip" horzOverflow="clip" rtlCol="0" anchor="b"/>
        <a:lstStyle/>
        <a:p>
          <a:pPr algn="ctr"/>
          <a:fld id="{A55877E4-2FD0-4855-80CD-E04E506C3C2D}" type="TxLink">
            <a:rPr lang="en-US" sz="16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twoCellAnchor>
    <xdr:from>
      <xdr:col>5</xdr:col>
      <xdr:colOff>147855</xdr:colOff>
      <xdr:row>73</xdr:row>
      <xdr:rowOff>98271</xdr:rowOff>
    </xdr:from>
    <xdr:to>
      <xdr:col>5</xdr:col>
      <xdr:colOff>1518290</xdr:colOff>
      <xdr:row>76</xdr:row>
      <xdr:rowOff>85907</xdr:rowOff>
    </xdr:to>
    <xdr:sp macro="" textlink="F86">
      <xdr:nvSpPr>
        <xdr:cNvPr id="31" name="Rectangle: Rounded Corners 30">
          <a:extLst>
            <a:ext uri="{FF2B5EF4-FFF2-40B4-BE49-F238E27FC236}">
              <a16:creationId xmlns:a16="http://schemas.microsoft.com/office/drawing/2014/main" id="{5AA75D18-2E9B-F0AC-D416-B026E64ED3A2}"/>
            </a:ext>
          </a:extLst>
        </xdr:cNvPr>
        <xdr:cNvSpPr/>
      </xdr:nvSpPr>
      <xdr:spPr>
        <a:xfrm>
          <a:off x="16617446" y="16810316"/>
          <a:ext cx="1370435" cy="559136"/>
        </a:xfrm>
        <a:prstGeom prst="roundRect">
          <a:avLst/>
        </a:prstGeom>
        <a:solidFill>
          <a:srgbClr val="192C4F"/>
        </a:solidFill>
        <a:ln/>
      </xdr:spPr>
      <xdr:style>
        <a:lnRef idx="3">
          <a:schemeClr val="lt1"/>
        </a:lnRef>
        <a:fillRef idx="1">
          <a:schemeClr val="dk1"/>
        </a:fillRef>
        <a:effectRef idx="1">
          <a:schemeClr val="dk1"/>
        </a:effectRef>
        <a:fontRef idx="minor">
          <a:schemeClr val="lt1"/>
        </a:fontRef>
      </xdr:style>
      <xdr:txBody>
        <a:bodyPr vertOverflow="clip" horzOverflow="clip" rtlCol="0" anchor="b"/>
        <a:lstStyle/>
        <a:p>
          <a:pPr algn="ctr"/>
          <a:fld id="{49C6CC96-B0F0-47CD-87F4-F73A8CCB73E6}" type="TxLink">
            <a:rPr lang="en-US" sz="1600" b="1" i="0" u="none" strike="noStrike">
              <a:solidFill>
                <a:schemeClr val="bg1"/>
              </a:solidFill>
              <a:latin typeface="Calibri"/>
              <a:ea typeface="Calibri"/>
              <a:cs typeface="Calibri"/>
            </a:rPr>
            <a:pPr algn="ctr"/>
            <a:t>0</a:t>
          </a:fld>
          <a:endParaRPr lang="en-US" sz="1600">
            <a:solidFill>
              <a:schemeClr val="bg1"/>
            </a:solidFill>
            <a:latin typeface="Bodoni MT Black" panose="02070A03080606020203" pitchFamily="18" charset="0"/>
          </a:endParaRPr>
        </a:p>
      </xdr:txBody>
    </xdr:sp>
    <xdr:clientData/>
  </xdr:twoCellAnchor>
  <xdr:oneCellAnchor>
    <xdr:from>
      <xdr:col>2</xdr:col>
      <xdr:colOff>3005211</xdr:colOff>
      <xdr:row>73</xdr:row>
      <xdr:rowOff>130751</xdr:rowOff>
    </xdr:from>
    <xdr:ext cx="476250" cy="264560"/>
    <xdr:sp macro="" textlink="">
      <xdr:nvSpPr>
        <xdr:cNvPr id="32" name="TextBox 31">
          <a:extLst>
            <a:ext uri="{FF2B5EF4-FFF2-40B4-BE49-F238E27FC236}">
              <a16:creationId xmlns:a16="http://schemas.microsoft.com/office/drawing/2014/main" id="{2DD735B1-629D-DFE2-6391-DFE62C45F3E5}"/>
            </a:ext>
          </a:extLst>
        </xdr:cNvPr>
        <xdr:cNvSpPr txBox="1"/>
      </xdr:nvSpPr>
      <xdr:spPr>
        <a:xfrm>
          <a:off x="11265984" y="16842796"/>
          <a:ext cx="476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Q2</a:t>
          </a:r>
          <a:endParaRPr lang="en-NG" sz="1100">
            <a:solidFill>
              <a:schemeClr val="bg1"/>
            </a:solidFill>
          </a:endParaRPr>
        </a:p>
      </xdr:txBody>
    </xdr:sp>
    <xdr:clientData/>
  </xdr:oneCellAnchor>
  <xdr:oneCellAnchor>
    <xdr:from>
      <xdr:col>2</xdr:col>
      <xdr:colOff>329045</xdr:colOff>
      <xdr:row>73</xdr:row>
      <xdr:rowOff>138546</xdr:rowOff>
    </xdr:from>
    <xdr:ext cx="351058" cy="264560"/>
    <xdr:sp macro="" textlink="">
      <xdr:nvSpPr>
        <xdr:cNvPr id="33" name="TextBox 32">
          <a:extLst>
            <a:ext uri="{FF2B5EF4-FFF2-40B4-BE49-F238E27FC236}">
              <a16:creationId xmlns:a16="http://schemas.microsoft.com/office/drawing/2014/main" id="{24844AFA-9F68-712A-5C45-1932DED9764C}"/>
            </a:ext>
          </a:extLst>
        </xdr:cNvPr>
        <xdr:cNvSpPr txBox="1"/>
      </xdr:nvSpPr>
      <xdr:spPr>
        <a:xfrm>
          <a:off x="8589818" y="16850591"/>
          <a:ext cx="3510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Q1</a:t>
          </a:r>
          <a:endParaRPr lang="en-NG" sz="1100">
            <a:solidFill>
              <a:schemeClr val="bg1"/>
            </a:solidFill>
          </a:endParaRPr>
        </a:p>
      </xdr:txBody>
    </xdr:sp>
    <xdr:clientData/>
  </xdr:oneCellAnchor>
  <xdr:oneCellAnchor>
    <xdr:from>
      <xdr:col>4</xdr:col>
      <xdr:colOff>710045</xdr:colOff>
      <xdr:row>73</xdr:row>
      <xdr:rowOff>173182</xdr:rowOff>
    </xdr:from>
    <xdr:ext cx="398319" cy="264560"/>
    <xdr:sp macro="" textlink="">
      <xdr:nvSpPr>
        <xdr:cNvPr id="34" name="TextBox 33">
          <a:extLst>
            <a:ext uri="{FF2B5EF4-FFF2-40B4-BE49-F238E27FC236}">
              <a16:creationId xmlns:a16="http://schemas.microsoft.com/office/drawing/2014/main" id="{444F0A70-A859-DA6F-10FA-72C6CEEB2EA3}"/>
            </a:ext>
          </a:extLst>
        </xdr:cNvPr>
        <xdr:cNvSpPr txBox="1"/>
      </xdr:nvSpPr>
      <xdr:spPr>
        <a:xfrm>
          <a:off x="14079681" y="16885227"/>
          <a:ext cx="3983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Q3</a:t>
          </a:r>
          <a:endParaRPr lang="en-NG" sz="1100">
            <a:solidFill>
              <a:schemeClr val="bg1"/>
            </a:solidFill>
          </a:endParaRPr>
        </a:p>
      </xdr:txBody>
    </xdr:sp>
    <xdr:clientData/>
  </xdr:oneCellAnchor>
  <xdr:oneCellAnchor>
    <xdr:from>
      <xdr:col>5</xdr:col>
      <xdr:colOff>207818</xdr:colOff>
      <xdr:row>73</xdr:row>
      <xdr:rowOff>173183</xdr:rowOff>
    </xdr:from>
    <xdr:ext cx="351058" cy="264560"/>
    <xdr:sp macro="" textlink="">
      <xdr:nvSpPr>
        <xdr:cNvPr id="35" name="TextBox 34">
          <a:extLst>
            <a:ext uri="{FF2B5EF4-FFF2-40B4-BE49-F238E27FC236}">
              <a16:creationId xmlns:a16="http://schemas.microsoft.com/office/drawing/2014/main" id="{F923606B-5CDB-3D1F-6B85-4C2218AB4066}"/>
            </a:ext>
          </a:extLst>
        </xdr:cNvPr>
        <xdr:cNvSpPr txBox="1"/>
      </xdr:nvSpPr>
      <xdr:spPr>
        <a:xfrm>
          <a:off x="16677409" y="16885228"/>
          <a:ext cx="3510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rPr>
            <a:t>Q4</a:t>
          </a:r>
          <a:endParaRPr lang="en-NG" sz="1100">
            <a:solidFill>
              <a:schemeClr val="bg1"/>
            </a:solidFill>
          </a:endParaRP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1</xdr:col>
      <xdr:colOff>0</xdr:colOff>
      <xdr:row>6</xdr:row>
      <xdr:rowOff>180975</xdr:rowOff>
    </xdr:to>
    <xdr:pic>
      <xdr:nvPicPr>
        <xdr:cNvPr id="5" name="Picture 4" descr="Stack of files">
          <a:extLst>
            <a:ext uri="{FF2B5EF4-FFF2-40B4-BE49-F238E27FC236}">
              <a16:creationId xmlns:a16="http://schemas.microsoft.com/office/drawing/2014/main" id="{7F34A3D7-5A6A-4FEA-95F9-BF01E1CD3C66}"/>
            </a:ext>
            <a:ext uri="{147F2762-F138-4A5C-976F-8EAC2B608ADB}">
              <a16:predDERef xmlns:a16="http://schemas.microsoft.com/office/drawing/2014/main" pred="{4B03A74D-4E6B-4C33-A201-464E8AF5FEBC}"/>
            </a:ext>
          </a:extLst>
        </xdr:cNvPr>
        <xdr:cNvPicPr>
          <a:picLocks noChangeAspect="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tretch>
          <a:fillRect/>
        </a:stretch>
      </xdr:blipFill>
      <xdr:spPr>
        <a:xfrm>
          <a:off x="0" y="211690"/>
          <a:ext cx="1166545" cy="1125128"/>
        </a:xfrm>
        <a:prstGeom prst="rect">
          <a:avLst/>
        </a:prstGeom>
      </xdr:spPr>
    </xdr:pic>
    <xdr:clientData/>
  </xdr:twoCellAnchor>
  <xdr:oneCellAnchor>
    <xdr:from>
      <xdr:col>4</xdr:col>
      <xdr:colOff>552451</xdr:colOff>
      <xdr:row>2</xdr:row>
      <xdr:rowOff>93160</xdr:rowOff>
    </xdr:from>
    <xdr:ext cx="11430000" cy="937629"/>
    <xdr:sp macro="" textlink="">
      <xdr:nvSpPr>
        <xdr:cNvPr id="2" name="Rectangle 1">
          <a:extLst>
            <a:ext uri="{FF2B5EF4-FFF2-40B4-BE49-F238E27FC236}">
              <a16:creationId xmlns:a16="http://schemas.microsoft.com/office/drawing/2014/main" id="{623CDEDA-5573-650E-C43A-BFBD0049F5C4}"/>
            </a:ext>
          </a:extLst>
        </xdr:cNvPr>
        <xdr:cNvSpPr/>
      </xdr:nvSpPr>
      <xdr:spPr>
        <a:xfrm>
          <a:off x="3352801" y="474160"/>
          <a:ext cx="11430000" cy="937629"/>
        </a:xfrm>
        <a:prstGeom prst="rect">
          <a:avLst/>
        </a:prstGeom>
        <a:noFill/>
      </xdr:spPr>
      <xdr:txBody>
        <a:bodyPr wrap="square" lIns="91440" tIns="45720" rIns="91440" bIns="45720">
          <a:spAutoFit/>
        </a:bodyPr>
        <a:lstStyle/>
        <a:p>
          <a:pPr algn="ctr"/>
          <a:r>
            <a:rPr lang="en-US" sz="5400" b="0" cap="none" spc="0">
              <a:ln w="0"/>
              <a:solidFill>
                <a:schemeClr val="tx1">
                  <a:lumMod val="95000"/>
                  <a:lumOff val="5000"/>
                </a:schemeClr>
              </a:solidFill>
              <a:effectLst>
                <a:reflection blurRad="6350" stA="53000" endA="300" endPos="35500" dir="5400000" sy="-90000" algn="bl" rotWithShape="0"/>
              </a:effectLst>
            </a:rPr>
            <a:t>HIGH</a:t>
          </a:r>
          <a:r>
            <a:rPr lang="en-US" sz="5400" b="0" cap="none" spc="0" baseline="0">
              <a:ln w="0"/>
              <a:solidFill>
                <a:schemeClr val="tx1">
                  <a:lumMod val="95000"/>
                  <a:lumOff val="5000"/>
                </a:schemeClr>
              </a:solidFill>
              <a:effectLst>
                <a:reflection blurRad="6350" stA="53000" endA="300" endPos="35500" dir="5400000" sy="-90000" algn="bl" rotWithShape="0"/>
              </a:effectLst>
            </a:rPr>
            <a:t> COURT 6 CASE FILE CABINET</a:t>
          </a:r>
          <a:endParaRPr lang="en-US" sz="5400" b="0" cap="none" spc="0">
            <a:ln w="0"/>
            <a:solidFill>
              <a:schemeClr val="tx1">
                <a:lumMod val="95000"/>
                <a:lumOff val="5000"/>
              </a:schemeClr>
            </a:solidFill>
            <a:effectLst>
              <a:reflection blurRad="6350" stA="53000" endA="300" endPos="35500" dir="5400000" sy="-90000" algn="bl" rotWithShape="0"/>
            </a:effectLst>
          </a:endParaRPr>
        </a:p>
      </xdr:txBody>
    </xdr:sp>
    <xdr:clientData/>
  </xdr:oneCellAnchor>
  <xdr:twoCellAnchor>
    <xdr:from>
      <xdr:col>1</xdr:col>
      <xdr:colOff>9524</xdr:colOff>
      <xdr:row>1</xdr:row>
      <xdr:rowOff>10888</xdr:rowOff>
    </xdr:from>
    <xdr:to>
      <xdr:col>3</xdr:col>
      <xdr:colOff>1162049</xdr:colOff>
      <xdr:row>7</xdr:row>
      <xdr:rowOff>114301</xdr:rowOff>
    </xdr:to>
    <xdr:pic>
      <xdr:nvPicPr>
        <xdr:cNvPr id="25" name="Picture 24">
          <a:extLst>
            <a:ext uri="{FF2B5EF4-FFF2-40B4-BE49-F238E27FC236}">
              <a16:creationId xmlns:a16="http://schemas.microsoft.com/office/drawing/2014/main" id="{BB1CB93C-688F-4ECC-BDD4-DB07111F50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1099" y="201388"/>
          <a:ext cx="1609725" cy="1246413"/>
        </a:xfrm>
        <a:prstGeom prst="rect">
          <a:avLst/>
        </a:prstGeom>
        <a:scene3d>
          <a:camera prst="orthographicFront"/>
          <a:lightRig rig="threePt" dir="t"/>
        </a:scene3d>
        <a:sp3d>
          <a:bevelT/>
        </a:sp3d>
      </xdr:spPr>
    </xdr:pic>
    <xdr:clientData/>
  </xdr:twoCellAnchor>
  <xdr:twoCellAnchor editAs="absolute">
    <xdr:from>
      <xdr:col>1</xdr:col>
      <xdr:colOff>0</xdr:colOff>
      <xdr:row>7</xdr:row>
      <xdr:rowOff>123825</xdr:rowOff>
    </xdr:from>
    <xdr:to>
      <xdr:col>3</xdr:col>
      <xdr:colOff>1251347</xdr:colOff>
      <xdr:row>10</xdr:row>
      <xdr:rowOff>171450</xdr:rowOff>
    </xdr:to>
    <mc:AlternateContent xmlns:mc="http://schemas.openxmlformats.org/markup-compatibility/2006" xmlns:sle15="http://schemas.microsoft.com/office/drawing/2012/slicer">
      <mc:Choice Requires="sle15">
        <xdr:graphicFrame macro="">
          <xdr:nvGraphicFramePr>
            <xdr:cNvPr id="4" name="SUIT NUMBER">
              <a:extLst>
                <a:ext uri="{FF2B5EF4-FFF2-40B4-BE49-F238E27FC236}">
                  <a16:creationId xmlns:a16="http://schemas.microsoft.com/office/drawing/2014/main" id="{36ABC0E8-B9CE-BC3F-46D0-0212B281EC5D}"/>
                </a:ext>
              </a:extLst>
            </xdr:cNvPr>
            <xdr:cNvGraphicFramePr/>
          </xdr:nvGraphicFramePr>
          <xdr:xfrm>
            <a:off x="0" y="0"/>
            <a:ext cx="0" cy="0"/>
          </xdr:xfrm>
          <a:graphic>
            <a:graphicData uri="http://schemas.microsoft.com/office/drawing/2010/slicer">
              <sle:slicer xmlns:sle="http://schemas.microsoft.com/office/drawing/2010/slicer" name="SUIT NUMBER"/>
            </a:graphicData>
          </a:graphic>
        </xdr:graphicFrame>
      </mc:Choice>
      <mc:Fallback xmlns="">
        <xdr:sp macro="" textlink="">
          <xdr:nvSpPr>
            <xdr:cNvPr id="0" name=""/>
            <xdr:cNvSpPr>
              <a:spLocks noTextEdit="1"/>
            </xdr:cNvSpPr>
          </xdr:nvSpPr>
          <xdr:spPr>
            <a:xfrm>
              <a:off x="1181100" y="1457325"/>
              <a:ext cx="1828800" cy="61912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2220514</xdr:colOff>
      <xdr:row>7</xdr:row>
      <xdr:rowOff>133350</xdr:rowOff>
    </xdr:from>
    <xdr:to>
      <xdr:col>6</xdr:col>
      <xdr:colOff>178593</xdr:colOff>
      <xdr:row>10</xdr:row>
      <xdr:rowOff>161925</xdr:rowOff>
    </xdr:to>
    <mc:AlternateContent xmlns:mc="http://schemas.openxmlformats.org/markup-compatibility/2006" xmlns:sle15="http://schemas.microsoft.com/office/drawing/2012/slicer">
      <mc:Choice Requires="sle15">
        <xdr:graphicFrame macro="">
          <xdr:nvGraphicFramePr>
            <xdr:cNvPr id="7" name="PARTICULARS">
              <a:extLst>
                <a:ext uri="{FF2B5EF4-FFF2-40B4-BE49-F238E27FC236}">
                  <a16:creationId xmlns:a16="http://schemas.microsoft.com/office/drawing/2014/main" id="{58653E77-E6EA-2DE2-976D-2C9210ADFDE6}"/>
                </a:ext>
              </a:extLst>
            </xdr:cNvPr>
            <xdr:cNvGraphicFramePr/>
          </xdr:nvGraphicFramePr>
          <xdr:xfrm>
            <a:off x="0" y="0"/>
            <a:ext cx="0" cy="0"/>
          </xdr:xfrm>
          <a:graphic>
            <a:graphicData uri="http://schemas.microsoft.com/office/drawing/2010/slicer">
              <sle:slicer xmlns:sle="http://schemas.microsoft.com/office/drawing/2010/slicer" name="PARTICULARS"/>
            </a:graphicData>
          </a:graphic>
        </xdr:graphicFrame>
      </mc:Choice>
      <mc:Fallback xmlns="">
        <xdr:sp macro="" textlink="">
          <xdr:nvSpPr>
            <xdr:cNvPr id="0" name=""/>
            <xdr:cNvSpPr>
              <a:spLocks noTextEdit="1"/>
            </xdr:cNvSpPr>
          </xdr:nvSpPr>
          <xdr:spPr>
            <a:xfrm>
              <a:off x="5605462" y="1466850"/>
              <a:ext cx="1828800" cy="60007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400050</xdr:colOff>
      <xdr:row>7</xdr:row>
      <xdr:rowOff>133350</xdr:rowOff>
    </xdr:from>
    <xdr:to>
      <xdr:col>7</xdr:col>
      <xdr:colOff>670916</xdr:colOff>
      <xdr:row>10</xdr:row>
      <xdr:rowOff>180975</xdr:rowOff>
    </xdr:to>
    <mc:AlternateContent xmlns:mc="http://schemas.openxmlformats.org/markup-compatibility/2006" xmlns:sle15="http://schemas.microsoft.com/office/drawing/2012/slicer">
      <mc:Choice Requires="sle15">
        <xdr:graphicFrame macro="">
          <xdr:nvGraphicFramePr>
            <xdr:cNvPr id="8" name="STATUS">
              <a:extLst>
                <a:ext uri="{FF2B5EF4-FFF2-40B4-BE49-F238E27FC236}">
                  <a16:creationId xmlns:a16="http://schemas.microsoft.com/office/drawing/2014/main" id="{9950B3C2-2FAC-C65B-D5F0-887F37FF333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817643" y="1466850"/>
              <a:ext cx="1828800" cy="61912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1054298</xdr:colOff>
      <xdr:row>7</xdr:row>
      <xdr:rowOff>133350</xdr:rowOff>
    </xdr:from>
    <xdr:to>
      <xdr:col>8</xdr:col>
      <xdr:colOff>2009180</xdr:colOff>
      <xdr:row>10</xdr:row>
      <xdr:rowOff>161925</xdr:rowOff>
    </xdr:to>
    <mc:AlternateContent xmlns:mc="http://schemas.openxmlformats.org/markup-compatibility/2006" xmlns:sle15="http://schemas.microsoft.com/office/drawing/2012/slicer">
      <mc:Choice Requires="sle15">
        <xdr:graphicFrame macro="">
          <xdr:nvGraphicFramePr>
            <xdr:cNvPr id="9" name="CURRENT AGE OF CASE">
              <a:extLst>
                <a:ext uri="{FF2B5EF4-FFF2-40B4-BE49-F238E27FC236}">
                  <a16:creationId xmlns:a16="http://schemas.microsoft.com/office/drawing/2014/main" id="{A93BC4CC-FCC3-2871-7A28-4A3FD448AE96}"/>
                </a:ext>
              </a:extLst>
            </xdr:cNvPr>
            <xdr:cNvGraphicFramePr/>
          </xdr:nvGraphicFramePr>
          <xdr:xfrm>
            <a:off x="0" y="0"/>
            <a:ext cx="0" cy="0"/>
          </xdr:xfrm>
          <a:graphic>
            <a:graphicData uri="http://schemas.microsoft.com/office/drawing/2010/slicer">
              <sle:slicer xmlns:sle="http://schemas.microsoft.com/office/drawing/2010/slicer" name="CURRENT AGE OF CASE"/>
            </a:graphicData>
          </a:graphic>
        </xdr:graphicFrame>
      </mc:Choice>
      <mc:Fallback xmlns="">
        <xdr:sp macro="" textlink="">
          <xdr:nvSpPr>
            <xdr:cNvPr id="0" name=""/>
            <xdr:cNvSpPr>
              <a:spLocks noTextEdit="1"/>
            </xdr:cNvSpPr>
          </xdr:nvSpPr>
          <xdr:spPr>
            <a:xfrm>
              <a:off x="10029825" y="1466850"/>
              <a:ext cx="1828800" cy="60007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1491853</xdr:colOff>
      <xdr:row>7</xdr:row>
      <xdr:rowOff>133350</xdr:rowOff>
    </xdr:from>
    <xdr:to>
      <xdr:col>4</xdr:col>
      <xdr:colOff>1693664</xdr:colOff>
      <xdr:row>10</xdr:row>
      <xdr:rowOff>171450</xdr:rowOff>
    </xdr:to>
    <mc:AlternateContent xmlns:mc="http://schemas.openxmlformats.org/markup-compatibility/2006" xmlns:sle15="http://schemas.microsoft.com/office/drawing/2012/slicer">
      <mc:Choice Requires="sle15">
        <xdr:graphicFrame macro="">
          <xdr:nvGraphicFramePr>
            <xdr:cNvPr id="6" name="CASE TYPE">
              <a:extLst>
                <a:ext uri="{FF2B5EF4-FFF2-40B4-BE49-F238E27FC236}">
                  <a16:creationId xmlns:a16="http://schemas.microsoft.com/office/drawing/2014/main" id="{7C5FE208-B143-6847-5577-378A5629DBA2}"/>
                </a:ext>
              </a:extLst>
            </xdr:cNvPr>
            <xdr:cNvGraphicFramePr/>
          </xdr:nvGraphicFramePr>
          <xdr:xfrm>
            <a:off x="0" y="0"/>
            <a:ext cx="0" cy="0"/>
          </xdr:xfrm>
          <a:graphic>
            <a:graphicData uri="http://schemas.microsoft.com/office/drawing/2010/slicer">
              <sle:slicer xmlns:sle="http://schemas.microsoft.com/office/drawing/2010/slicer" name="CASE TYPE"/>
            </a:graphicData>
          </a:graphic>
        </xdr:graphicFrame>
      </mc:Choice>
      <mc:Fallback xmlns="">
        <xdr:sp macro="" textlink="">
          <xdr:nvSpPr>
            <xdr:cNvPr id="0" name=""/>
            <xdr:cNvSpPr>
              <a:spLocks noTextEdit="1"/>
            </xdr:cNvSpPr>
          </xdr:nvSpPr>
          <xdr:spPr>
            <a:xfrm>
              <a:off x="3250406" y="1466850"/>
              <a:ext cx="1828800" cy="60960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514563</xdr:colOff>
      <xdr:row>1004</xdr:row>
      <xdr:rowOff>188357</xdr:rowOff>
    </xdr:from>
    <xdr:to>
      <xdr:col>32</xdr:col>
      <xdr:colOff>215145</xdr:colOff>
      <xdr:row>1019</xdr:row>
      <xdr:rowOff>179648</xdr:rowOff>
    </xdr:to>
    <xdr:pic>
      <xdr:nvPicPr>
        <xdr:cNvPr id="2" name="Picture 1" descr="Stack of files">
          <a:extLst>
            <a:ext uri="{FF2B5EF4-FFF2-40B4-BE49-F238E27FC236}">
              <a16:creationId xmlns:a16="http://schemas.microsoft.com/office/drawing/2014/main" id="{7B5AFFBF-17AE-420D-8C9F-A07D0E395C07}"/>
            </a:ext>
            <a:ext uri="{147F2762-F138-4A5C-976F-8EAC2B608ADB}">
              <a16:predDERef xmlns:a16="http://schemas.microsoft.com/office/drawing/2014/main" pred="{4B03A74D-4E6B-4C33-A201-464E8AF5FE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772063" y="204716084"/>
          <a:ext cx="5761945" cy="3021971"/>
        </a:xfrm>
        <a:prstGeom prst="rect">
          <a:avLst/>
        </a:prstGeom>
      </xdr:spPr>
    </xdr:pic>
    <xdr:clientData/>
  </xdr:twoCellAnchor>
  <xdr:oneCellAnchor>
    <xdr:from>
      <xdr:col>3</xdr:col>
      <xdr:colOff>314326</xdr:colOff>
      <xdr:row>2</xdr:row>
      <xdr:rowOff>123881</xdr:rowOff>
    </xdr:from>
    <xdr:ext cx="10460060" cy="1333443"/>
    <xdr:sp macro="" textlink="">
      <xdr:nvSpPr>
        <xdr:cNvPr id="3" name="Rectangle 2">
          <a:extLst>
            <a:ext uri="{FF2B5EF4-FFF2-40B4-BE49-F238E27FC236}">
              <a16:creationId xmlns:a16="http://schemas.microsoft.com/office/drawing/2014/main" id="{17205629-51A4-405F-BF61-21C3B803A237}"/>
            </a:ext>
          </a:extLst>
        </xdr:cNvPr>
        <xdr:cNvSpPr/>
      </xdr:nvSpPr>
      <xdr:spPr>
        <a:xfrm>
          <a:off x="4181476" y="514406"/>
          <a:ext cx="10460060" cy="1333443"/>
        </a:xfrm>
        <a:prstGeom prst="rect">
          <a:avLst/>
        </a:prstGeom>
        <a:noFill/>
      </xdr:spPr>
      <xdr:txBody>
        <a:bodyPr wrap="square" lIns="91440" tIns="45720" rIns="91440" bIns="45720">
          <a:noAutofit/>
        </a:bodyPr>
        <a:lstStyle/>
        <a:p>
          <a:pPr algn="ctr"/>
          <a:r>
            <a:rPr lang="en-US" sz="6000" b="0" cap="none" spc="0">
              <a:ln w="0"/>
              <a:solidFill>
                <a:schemeClr val="tx1">
                  <a:lumMod val="95000"/>
                  <a:lumOff val="5000"/>
                </a:schemeClr>
              </a:solidFill>
              <a:effectLst>
                <a:reflection blurRad="6350" stA="53000" endA="300" endPos="35500" dir="5400000" sy="-90000" algn="bl" rotWithShape="0"/>
              </a:effectLst>
            </a:rPr>
            <a:t>HIGH</a:t>
          </a:r>
          <a:r>
            <a:rPr lang="en-US" sz="6000" b="0" cap="none" spc="0" baseline="0">
              <a:ln w="0"/>
              <a:solidFill>
                <a:schemeClr val="tx1">
                  <a:lumMod val="95000"/>
                  <a:lumOff val="5000"/>
                </a:schemeClr>
              </a:solidFill>
              <a:effectLst>
                <a:reflection blurRad="6350" stA="53000" endA="300" endPos="35500" dir="5400000" sy="-90000" algn="bl" rotWithShape="0"/>
              </a:effectLst>
            </a:rPr>
            <a:t> COURT 6 HEARING LOG</a:t>
          </a:r>
          <a:endParaRPr lang="en-US" sz="6000" b="0" cap="none" spc="0">
            <a:ln w="0"/>
            <a:solidFill>
              <a:schemeClr val="tx1">
                <a:lumMod val="95000"/>
                <a:lumOff val="5000"/>
              </a:schemeClr>
            </a:solidFill>
            <a:effectLst>
              <a:reflection blurRad="6350" stA="53000" endA="300" endPos="35500" dir="5400000" sy="-90000" algn="bl" rotWithShape="0"/>
            </a:effectLst>
          </a:endParaRPr>
        </a:p>
      </xdr:txBody>
    </xdr:sp>
    <xdr:clientData/>
  </xdr:oneCellAnchor>
  <xdr:twoCellAnchor>
    <xdr:from>
      <xdr:col>1</xdr:col>
      <xdr:colOff>23077</xdr:colOff>
      <xdr:row>1</xdr:row>
      <xdr:rowOff>26831</xdr:rowOff>
    </xdr:from>
    <xdr:to>
      <xdr:col>2</xdr:col>
      <xdr:colOff>1359056</xdr:colOff>
      <xdr:row>8</xdr:row>
      <xdr:rowOff>1540</xdr:rowOff>
    </xdr:to>
    <xdr:pic>
      <xdr:nvPicPr>
        <xdr:cNvPr id="4" name="Picture 3">
          <a:extLst>
            <a:ext uri="{FF2B5EF4-FFF2-40B4-BE49-F238E27FC236}">
              <a16:creationId xmlns:a16="http://schemas.microsoft.com/office/drawing/2014/main" id="{407EE16B-E3AF-4780-A5C3-2B905995C2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95760" y="212685"/>
          <a:ext cx="1905156" cy="1298916"/>
        </a:xfrm>
        <a:prstGeom prst="rect">
          <a:avLst/>
        </a:prstGeom>
        <a:scene3d>
          <a:camera prst="orthographicFront"/>
          <a:lightRig rig="threePt" dir="t"/>
        </a:scene3d>
        <a:sp3d>
          <a:bevelT/>
        </a:sp3d>
      </xdr:spPr>
    </xdr:pic>
    <xdr:clientData/>
  </xdr:twoCellAnchor>
  <xdr:twoCellAnchor editAs="absolute">
    <xdr:from>
      <xdr:col>0</xdr:col>
      <xdr:colOff>1609860</xdr:colOff>
      <xdr:row>8</xdr:row>
      <xdr:rowOff>6573</xdr:rowOff>
    </xdr:from>
    <xdr:to>
      <xdr:col>2</xdr:col>
      <xdr:colOff>1359056</xdr:colOff>
      <xdr:row>10</xdr:row>
      <xdr:rowOff>184865</xdr:rowOff>
    </xdr:to>
    <mc:AlternateContent xmlns:mc="http://schemas.openxmlformats.org/markup-compatibility/2006" xmlns:sle15="http://schemas.microsoft.com/office/drawing/2012/slicer">
      <mc:Choice Requires="sle15">
        <xdr:graphicFrame macro="">
          <xdr:nvGraphicFramePr>
            <xdr:cNvPr id="5" name="SUIT NUMBER 1">
              <a:extLst>
                <a:ext uri="{FF2B5EF4-FFF2-40B4-BE49-F238E27FC236}">
                  <a16:creationId xmlns:a16="http://schemas.microsoft.com/office/drawing/2014/main" id="{D051701D-2301-4FC0-A271-8790642C2DE7}"/>
                </a:ext>
              </a:extLst>
            </xdr:cNvPr>
            <xdr:cNvGraphicFramePr/>
          </xdr:nvGraphicFramePr>
          <xdr:xfrm>
            <a:off x="0" y="0"/>
            <a:ext cx="0" cy="0"/>
          </xdr:xfrm>
          <a:graphic>
            <a:graphicData uri="http://schemas.microsoft.com/office/drawing/2010/slicer">
              <sle:slicer xmlns:sle="http://schemas.microsoft.com/office/drawing/2010/slicer" name="SUIT NUMBER 1"/>
            </a:graphicData>
          </a:graphic>
        </xdr:graphicFrame>
      </mc:Choice>
      <mc:Fallback xmlns="">
        <xdr:sp macro="" textlink="">
          <xdr:nvSpPr>
            <xdr:cNvPr id="0" name=""/>
            <xdr:cNvSpPr>
              <a:spLocks noTextEdit="1"/>
            </xdr:cNvSpPr>
          </xdr:nvSpPr>
          <xdr:spPr>
            <a:xfrm>
              <a:off x="1609859" y="1549623"/>
              <a:ext cx="2266816" cy="559292"/>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0</xdr:colOff>
      <xdr:row>0</xdr:row>
      <xdr:rowOff>29260</xdr:rowOff>
    </xdr:from>
    <xdr:to>
      <xdr:col>1</xdr:col>
      <xdr:colOff>13416</xdr:colOff>
      <xdr:row>11</xdr:row>
      <xdr:rowOff>13414</xdr:rowOff>
    </xdr:to>
    <xdr:pic>
      <xdr:nvPicPr>
        <xdr:cNvPr id="9" name="Picture 8" descr="Gavel resting on block">
          <a:extLst>
            <a:ext uri="{FF2B5EF4-FFF2-40B4-BE49-F238E27FC236}">
              <a16:creationId xmlns:a16="http://schemas.microsoft.com/office/drawing/2014/main" id="{4629D469-874C-A712-87EA-4AF95474D46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9260"/>
          <a:ext cx="1676937" cy="2076971"/>
        </a:xfrm>
        <a:prstGeom prst="rect">
          <a:avLst/>
        </a:prstGeom>
      </xdr:spPr>
    </xdr:pic>
    <xdr:clientData/>
  </xdr:twoCellAnchor>
  <xdr:twoCellAnchor editAs="oneCell">
    <xdr:from>
      <xdr:col>0</xdr:col>
      <xdr:colOff>0</xdr:colOff>
      <xdr:row>0</xdr:row>
      <xdr:rowOff>13418</xdr:rowOff>
    </xdr:from>
    <xdr:to>
      <xdr:col>0</xdr:col>
      <xdr:colOff>804931</xdr:colOff>
      <xdr:row>2</xdr:row>
      <xdr:rowOff>160990</xdr:rowOff>
    </xdr:to>
    <xdr:pic>
      <xdr:nvPicPr>
        <xdr:cNvPr id="7" name="Picture 6" descr="Empty chairs in jury box">
          <a:extLst>
            <a:ext uri="{FF2B5EF4-FFF2-40B4-BE49-F238E27FC236}">
              <a16:creationId xmlns:a16="http://schemas.microsoft.com/office/drawing/2014/main" id="{696F6B84-2C16-6CCD-BCD6-EE31CAC4418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13418"/>
          <a:ext cx="804931" cy="536621"/>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6</v>
    <v>1</v>
  </rv>
  <rv s="0">
    <v>0</v>
    <v>8</v>
    <v>6</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IT_NUMBER" xr10:uid="{A3E3885C-2916-4886-A876-E971AC1511CD}" sourceName="SUIT NUMB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TYPE" xr10:uid="{E0F2B5B3-987F-4FE7-BBE1-F9E6CB9D6AD2}" sourceName="CASE TYPE">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ICULARS" xr10:uid="{4E47D679-533A-4885-8C82-46FEE5E91EAA}" sourceName="PARTICULARS">
  <extLst>
    <x:ext xmlns:x15="http://schemas.microsoft.com/office/spreadsheetml/2010/11/main" uri="{2F2917AC-EB37-4324-AD4E-5DD8C200BD13}">
      <x15:tableSlicerCache tableId="2" column="18"/>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AGE_OF_CASE" xr10:uid="{C1811224-E07A-49E6-8AAD-F4EC94412E8A}" sourceName="CURRENT AGE OF CASE">
  <extLst>
    <x:ext xmlns:x15="http://schemas.microsoft.com/office/spreadsheetml/2010/11/main" uri="{2F2917AC-EB37-4324-AD4E-5DD8C200BD13}">
      <x15:tableSlicerCache tableId="2"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IT_NUMBER1" xr10:uid="{9B44BBE7-8C3E-4D8C-9752-30F92FC1F63E}" sourceName="SUIT NUMBER">
  <extLst>
    <x:ext xmlns:x15="http://schemas.microsoft.com/office/spreadsheetml/2010/11/main" uri="{2F2917AC-EB37-4324-AD4E-5DD8C200BD13}">
      <x15:tableSlicerCache tableId="4"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DF59E58-BD5B-4FE6-9919-5C949D241592}" sourceName="STATUS">
  <extLst>
    <x:ext xmlns:x15="http://schemas.microsoft.com/office/spreadsheetml/2010/11/main" uri="{2F2917AC-EB37-4324-AD4E-5DD8C200BD13}">
      <x15:tableSlicerCache tableId="2"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IT NUMBER" xr10:uid="{694A5993-A64F-4B04-939D-1971BE1E1E71}" cache="Slicer_SUIT_NUMBER" caption="SUIT NUMBER" style="Slicer Style 6" rowHeight="241300"/>
  <slicer name="CASE TYPE" xr10:uid="{54E7BE8D-F28F-4EB2-BD6C-2454948EE6D1}" cache="Slicer_CASE_TYPE" caption="CASE TYPE" style="Slicer Style 6" rowHeight="241300"/>
  <slicer name="PARTICULARS" xr10:uid="{311381C9-DD46-4D85-A7A1-86E5FD977232}" cache="Slicer_PARTICULARS" caption="PARTICULARS" style="Slicer Style 6" rowHeight="241300"/>
  <slicer name="CURRENT AGE OF CASE" xr10:uid="{3237E77F-4633-4B6B-AC98-E7ABA42DFA46}" cache="Slicer_CURRENT_AGE_OF_CASE" caption="CURRENT AGE OF CASE" style="Slicer Style 6" rowHeight="241300"/>
  <slicer name="STATUS" xr10:uid="{9358AD03-5387-4D43-BC06-D54DCB42398A}" cache="Slicer_STATUS" caption="STATUS" style="Slicer Style 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IT NUMBER 1" xr10:uid="{75FFFF64-660B-4A18-9F79-F4B4D321BFB7}" cache="Slicer_SUIT_NUMBER1" caption="SUIT NUMBER" style="Slicer Style 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595703-FBCB-4C2B-8399-232CAAE3F75B}" name="CAS_MAT" displayName="CAS_MAT" ref="J21:L24" totalsRowShown="0" headerRowDxfId="95" dataDxfId="94">
  <autoFilter ref="J21:L24" xr:uid="{3F595703-FBCB-4C2B-8399-232CAAE3F75B}"/>
  <tableColumns count="3">
    <tableColumn id="1" xr3:uid="{410647EC-0901-4F68-A453-B0F4B220AE87}" name="AGE RANGE" dataDxfId="93"/>
    <tableColumn id="2" xr3:uid="{A645F7F8-22CB-4B62-BBFE-951350A75D10}" name="NUMBER" dataDxfId="92"/>
    <tableColumn id="3" xr3:uid="{560D6D68-64A9-4193-89BC-BC7EC2B08EAB}" name="% of active cases" dataDxfId="91" dataCellStyle="Percent">
      <calculatedColumnFormula>IFERROR(K22/COUNTIFS(HCT6_CR[STATUS],"ACTIVE"),0)</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28101DE-4BFE-4115-AA91-437C1E6DA4CD}" name="KPI_STATUS" displayName="KPI_STATUS" ref="C6:D15" totalsRowShown="0">
  <autoFilter ref="C6:D15" xr:uid="{028101DE-4BFE-4115-AA91-437C1E6DA4CD}"/>
  <tableColumns count="2">
    <tableColumn id="1" xr3:uid="{FDC78ED1-05BA-4D0E-9C15-175AED4EC40F}" name="STATUS"/>
    <tableColumn id="2" xr3:uid="{8F4CC18D-7065-4033-8753-A14387C876AE}" name="NUMBER">
      <calculatedColumnFormula>COUNTIF(HCT6_CR[STATUS],"CONCLUDED")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A432CD-3CCC-4791-BA2B-C01DF3094C0D}" name="KPI_HLOG" displayName="KPI_HLOG" ref="F6:G13" totalsRowShown="0" headerRowDxfId="90" dataDxfId="89" tableBorderDxfId="88">
  <autoFilter ref="F6:G13" xr:uid="{3CA432CD-3CCC-4791-BA2B-C01DF3094C0D}"/>
  <tableColumns count="2">
    <tableColumn id="1" xr3:uid="{086107E2-D5E9-4168-B8C2-808985A30F82}" name="PURPOSE" dataDxfId="87"/>
    <tableColumn id="2" xr3:uid="{DBC2355B-5585-4A5D-BE71-08DB335218C6}" name="NUMBER" dataDxfId="86"/>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193D69-A098-417F-800E-9C4A6022CDF6}" name="KPI_NXACT" displayName="KPI_NXACT" ref="H6:I22" totalsRowShown="0" tableBorderDxfId="85">
  <autoFilter ref="H6:I22" xr:uid="{3D193D69-A098-417F-800E-9C4A6022CDF6}"/>
  <tableColumns count="2">
    <tableColumn id="1" xr3:uid="{0A995EE3-777B-436B-B36A-84EEDF3FEE10}" name="NEXT ACTION"/>
    <tableColumn id="2" xr3:uid="{4493B371-7395-4509-AB1B-4A5241D1DBA8}" name="NUMB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10D8C8-262D-4ECE-8B6F-34E74C358753}" name="JUD_KPI" displayName="JUD_KPI" ref="O6:R7" totalsRowShown="0" headerRowDxfId="84" dataDxfId="83" tableBorderDxfId="82">
  <autoFilter ref="O6:R7" xr:uid="{7D10D8C8-262D-4ECE-8B6F-34E74C358753}"/>
  <tableColumns count="4">
    <tableColumn id="1" xr3:uid="{77B0B531-D4ED-45DD-AC41-D73EB331BDCE}" name="Q1" dataDxfId="81">
      <calculatedColumnFormula>COUNTIFS(HCT6_HL[DATE CONCLUDED],"&gt;="&amp;DATE(YEAR(TODAY()),1,1),HCT6_HL[DATE CONCLUDED],"&lt;"&amp;DATE(YEAR(TODAY()),4,1))</calculatedColumnFormula>
    </tableColumn>
    <tableColumn id="2" xr3:uid="{69587EA2-B411-4528-92CD-A3B8999E5422}" name="Q2" dataDxfId="80">
      <calculatedColumnFormula>COUNTIFS(HCT6_HL[DATE CONCLUDED],"&gt;="&amp;DATE(YEAR(TODAY()),4,1),HCT6_HL[DATE CONCLUDED],"&lt;"&amp;DATE(YEAR(TODAY()),7,1))</calculatedColumnFormula>
    </tableColumn>
    <tableColumn id="3" xr3:uid="{C1898AF9-7009-40D6-8931-EAA5503DFBF2}" name="Q3" dataDxfId="79">
      <calculatedColumnFormula>COUNTIFS(HCT6_HL[DATE CONCLUDED],"&gt;="&amp;DATE(YEAR(TODAY()),7,1),HCT6_HL[DATE CONCLUDED],"&lt;"&amp;DATE(YEAR(TODAY()),10,1))</calculatedColumnFormula>
    </tableColumn>
    <tableColumn id="4" xr3:uid="{9361CE71-B440-404A-96FC-DA80F7046D6E}" name="Q4" dataDxfId="78">
      <calculatedColumnFormula>COUNTIFS(HCT6_HL[DATE CONCLUDED],"&gt;="&amp;DATE(YEAR(TODAY()),10,1),HCT6_HL[DATE CONCLUDED],"&lt;"&amp;DATE(YEAR(TODAY())+1,1,1))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4C790B2-5F4D-49F0-8E9F-C391A69D0A31}" name="CASES_KPI" displayName="CASES_KPI" ref="O12:R13" totalsRowShown="0" headerRowDxfId="77" tableBorderDxfId="76">
  <autoFilter ref="O12:R13" xr:uid="{C4C790B2-5F4D-49F0-8E9F-C391A69D0A31}"/>
  <tableColumns count="4">
    <tableColumn id="1" xr3:uid="{5DC206A6-7D51-4393-9CFF-C561B856BA8B}" name="Q1">
      <calculatedColumnFormula>COUNTIFS(HCT6_CR[DATE ASSIGNED],"&gt;="&amp;DATE(YEAR(TODAY()),1,1),HCT6_CR[DATE ASSIGNED],"&lt;"&amp;DATE(YEAR(TODAY()),4,1))</calculatedColumnFormula>
    </tableColumn>
    <tableColumn id="2" xr3:uid="{22262E10-AB76-4FDE-9B91-416A6E9C7594}" name="Q2">
      <calculatedColumnFormula>COUNTIFS(HCT6_CR[DATE ASSIGNED],"&gt;="&amp;DATE(YEAR(TODAY()),4,1),HCT6_CR[DATE ASSIGNED],"&lt;"&amp;DATE(YEAR(TODAY()),7,1))</calculatedColumnFormula>
    </tableColumn>
    <tableColumn id="3" xr3:uid="{779C298F-2378-4E2E-9F49-F486CA9404E4}" name="Q3">
      <calculatedColumnFormula>COUNTIFS(HCT6_CR[DATE ASSIGNED],"&gt;="&amp;DATE(YEAR(TODAY()),7,1),HCT6_CR[DATE ASSIGNED],"&lt;"&amp;DATE(YEAR(TODAY()),10,1))</calculatedColumnFormula>
    </tableColumn>
    <tableColumn id="4" xr3:uid="{A587F53D-0D4C-45E6-B682-99123B9FC2D3}" name="Q4">
      <calculatedColumnFormula>COUNTIFS(HCT6_CR[DATE ASSIGNED],"&gt;="&amp;DATE(YEAR(TODAY()),10,1),HCT6_CR[DATE ASSIGNED],"&lt;"&amp;DATE(YEAR(TODAY())+1,1,1))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89B031-3810-4205-BCA9-B1E403855F7E}" name="RUL_KPI" displayName="RUL_KPI" ref="O17:R18" totalsRowShown="0" headerRowDxfId="75" tableBorderDxfId="74">
  <autoFilter ref="O17:R18" xr:uid="{0089B031-3810-4205-BCA9-B1E403855F7E}"/>
  <tableColumns count="4">
    <tableColumn id="1" xr3:uid="{69843725-7EA3-4DC7-A371-BAEBC5A172DB}" name="Q1">
      <calculatedColumnFormula>COUNTIFS(HCT6_HL[RULING],"&gt;="&amp;DATE(YEAR(TODAY()),1,1),HCT6_HL[RULING],"&lt;"&amp;DATE(YEAR(TODAY()),4,1))</calculatedColumnFormula>
    </tableColumn>
    <tableColumn id="2" xr3:uid="{70197B93-3B03-4046-8417-E71D8AF6D85C}" name="Q2">
      <calculatedColumnFormula>COUNTIFS(HCT6_HL[RULING],"&gt;="&amp;DATE(YEAR(TODAY()),4,1),HCT6_HL[RULING],"&lt;"&amp;DATE(YEAR(TODAY()),7,1))</calculatedColumnFormula>
    </tableColumn>
    <tableColumn id="3" xr3:uid="{37826299-344E-496F-B8BD-5463D52EAFD3}" name="Q3">
      <calculatedColumnFormula>COUNTIFS(HCT6_HL[RULING],"&gt;="&amp;DATE(YEAR(TODAY()),7,1),HCT6_HL[RULING],"&lt;"&amp;DATE(YEAR(TODAY()),10,1))</calculatedColumnFormula>
    </tableColumn>
    <tableColumn id="4" xr3:uid="{9DD21369-D98F-49D8-9554-D6EB321C1270}" name="Q4">
      <calculatedColumnFormula>COUNTIFS(HCT6_HL[RULING],"&gt;="&amp;DATE(YEAR(TODAY()),10,1),HCT6_HL[RULING],"&lt;"&amp;DATE(YEAR(TODAY())+1,1,1))</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0E88FC-FDB3-4E34-8960-36D5AFCE335B}" name="JUD_KPI4" displayName="JUD_KPI4" ref="O24:R25" totalsRowShown="0" headerRowDxfId="73" dataDxfId="72" tableBorderDxfId="71">
  <autoFilter ref="O24:R25" xr:uid="{BB0E88FC-FDB3-4E34-8960-36D5AFCE335B}"/>
  <tableColumns count="4">
    <tableColumn id="1" xr3:uid="{9AE274E0-F8D1-477D-A253-CAF65A00D650}" name="Q1" dataDxfId="70">
      <calculatedColumnFormula array="1">COUNTIFS(HCT6_HL[OUTCOME],"JUDGMENT DELIVERED")*(YEAR(HCT6_HL[DATE CONCLUDED]=$L$14)*(ROUNDUP(MONTH(HCT6_HL[DATE CONCLUDED])/3,0)=VALUE(RIGHT($M$14,1))))</calculatedColumnFormula>
    </tableColumn>
    <tableColumn id="2" xr3:uid="{F56A47B7-1044-4E1B-8D34-2F736579F50E}" name="Q2" dataDxfId="69">
      <calculatedColumnFormula array="1">COUNTIFS(HCT6_HL[OUTCOME],"JUDGMENT DELIVERED")*(YEAR(HCT6_HL[DATE CONCLUDED]=$L$14)*(ROUNDUP(MONTH(HCT6_HL[DATE CONCLUDED])/3,0)=VALUE(RIGHT($M$14,1))))</calculatedColumnFormula>
    </tableColumn>
    <tableColumn id="3" xr3:uid="{44315A8C-9A5A-4D5E-8E80-220822B017AB}" name="Q3" dataDxfId="68">
      <calculatedColumnFormula array="1">COUNTIFS(HCT6_HL[OUTCOME],"JUDGMENT DELIVERED")*(YEAR(HCT6_HL[DATE CONCLUDED]=$L$14)*(ROUNDUP(MONTH(HCT6_HL[DATE CONCLUDED])/3,0)=VALUE(RIGHT($M$14,1))))</calculatedColumnFormula>
    </tableColumn>
    <tableColumn id="4" xr3:uid="{443A7345-D1A2-4026-8251-CEFEBFBDF6A1}" name="Q4" dataDxfId="67">
      <calculatedColumnFormula array="1">COUNTIFS(HCT6_HL[OUTCOME],"JUDGMENT DELIVERED")*(YEAR(HCT6_HL[DATE CONCLUDED]=$L$14)*(ROUNDUP(MONTH(HCT6_HL[DATE CONCLUDED])/3,0)=VALUE(RIGHT($M$14,1))))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34A002-61C2-4FEF-BA33-990B2396707D}" name="HCT6_CR" displayName="HCT6_CR" ref="C13:X15" totalsRowShown="0" headerRowDxfId="66" dataDxfId="65" headerRowCellStyle="Style 1 2">
  <autoFilter ref="C13:X15" xr:uid="{F334A002-61C2-4FEF-BA33-990B2396707D}"/>
  <tableColumns count="22">
    <tableColumn id="1" xr3:uid="{17F0A02F-770F-414F-8151-0A1629C8CE0B}" name="S/N" dataDxfId="64" totalsRowDxfId="63">
      <calculatedColumnFormula array="1">IF(HCT6_CR[[#This Row],[SUIT NUMBER]]="","",ROW()-ROW(HCT6_CR[#Headers]))</calculatedColumnFormula>
    </tableColumn>
    <tableColumn id="2" xr3:uid="{15FA9681-F0CE-42CE-B129-0EC185E2FBF9}" name="SUIT NUMBER" dataDxfId="62" totalsRowDxfId="61"/>
    <tableColumn id="3" xr3:uid="{EB6BE51A-D8E8-4DED-A17E-35A0B3DCC293}" name="PARTIES" dataDxfId="60" totalsRowDxfId="59"/>
    <tableColumn id="4" xr3:uid="{82038424-CAAF-4F75-AA52-4205D97D3EA0}" name="CASE TYPE" dataDxfId="58" totalsRowDxfId="57"/>
    <tableColumn id="5" xr3:uid="{98E24FDF-13D8-4FD7-B915-B4A2E8BF526A}" name="NATURE OF CLAIM" dataDxfId="56" totalsRowDxfId="55"/>
    <tableColumn id="18" xr3:uid="{937B3DD0-DA9F-4E3F-A0AD-5E0A5D16BCCD}" name="PARTICULARS" dataDxfId="54" totalsRowDxfId="53"/>
    <tableColumn id="6" xr3:uid="{54EB0B8C-695A-401C-8DFB-1740D1F965BE}" name="CLAIMANT COUNSEL" dataDxfId="52" totalsRowDxfId="51"/>
    <tableColumn id="7" xr3:uid="{3B15E589-48A3-483A-8B8A-580EF8213988}" name="PHONE NUMBER" dataDxfId="50" totalsRowDxfId="49"/>
    <tableColumn id="8" xr3:uid="{9FC34582-9E5D-4BEE-B7F0-9A6CCFA1B1BA}" name="E-MAIL" dataDxfId="48" totalsRowDxfId="47" dataCellStyle="Hyperlink"/>
    <tableColumn id="9" xr3:uid="{CDCAA56B-1762-479F-9929-ABBFFEF03EF9}" name="DEFENDANT COUNSEL" dataDxfId="46" totalsRowDxfId="45"/>
    <tableColumn id="10" xr3:uid="{FE729336-A281-4BD3-B583-502810BB6D47}" name="PHONE NUMBER2" dataDxfId="44" totalsRowDxfId="43"/>
    <tableColumn id="11" xr3:uid="{3D805381-3F55-448A-AE5C-CC72F3E54C5E}" name="E-MAIL2" dataDxfId="42" totalsRowDxfId="41" dataCellStyle="Hyperlink"/>
    <tableColumn id="12" xr3:uid="{C086A39C-5541-44B5-88A2-2F6ED09B882B}" name="DATE FILED" dataDxfId="40" totalsRowDxfId="39"/>
    <tableColumn id="19" xr3:uid="{521BB143-81E2-42F2-8A98-427954565FA3}" name="DATE ASSIGNED" dataDxfId="38" totalsRowDxfId="37"/>
    <tableColumn id="20" xr3:uid="{5182E9B9-E9FE-4ED6-8C3C-994BFCE62F45}" name="DATE TRIAL COMMENCED" dataDxfId="36" totalsRowDxfId="35"/>
    <tableColumn id="13" xr3:uid="{962A43E0-1F59-4137-BB8A-0824EC8940A2}" name="STATUS" dataDxfId="34" totalsRowDxfId="33"/>
    <tableColumn id="14" xr3:uid="{4647F674-5A37-4E8F-B159-1762833EB776}" name="DETAILS" dataDxfId="32" totalsRowDxfId="31"/>
    <tableColumn id="15" xr3:uid="{7763BCB7-4738-4DD5-9F0F-4BCC035A13B0}" name="CURRENT AGE OF CASE" dataDxfId="30" totalsRowDxfId="29">
      <calculatedColumnFormula>IF(HCT6_CR[[#This Row],[DATE FILED]]="","",ROUND(_xlfn.DAYS(TODAY(),HCT6_CR[[#This Row],[DATE FILED]])/365,1))</calculatedColumnFormula>
    </tableColumn>
    <tableColumn id="22" xr3:uid="{1286A8C9-F481-4883-963F-D07DC7646474}" name="AGE DISPLAY" dataDxfId="28" totalsRowDxfId="27">
      <calculatedColumnFormula>IF(HCT6_CR[[#This Row],[DATE FILED]]="","",
      _xlfn.LET(
              _xlpm.y, DATEDIF(HCT6_CR[[#This Row],[DATE FILED]],TODAY(),"y"),
              _xlpm.m, DATEDIF(HCT6_CR[[#This Row],[DATE FILED]],TODAY(), "ym"),
              _xlpm.y &amp; "  Year" &amp; IF(_xlpm.y=1, "","s") &amp; " " &amp; _xlpm.m &amp;" Month" &amp; IF(_xlpm.m=1, "", "s")
    )
)</calculatedColumnFormula>
    </tableColumn>
    <tableColumn id="16" xr3:uid="{EF6D0414-3088-4B92-84A5-B7FD0FFFC967}" name="DATE CONCLUDED" dataDxfId="26" totalsRowDxfId="25"/>
    <tableColumn id="17" xr3:uid="{EF43C0C2-7E9D-4621-91AF-22D5837E6B8C}" name="AGE WHEN CONCLUDED" dataDxfId="24" totalsRowDxfId="23">
      <calculatedColumnFormula>IF(HCT6_CR[[#This Row],[DATE FILED]]="","",IF(HCT6_CR[[#This Row],[DATE CONCLUDED]]="","ON GOING",DATEDIF(HCT6_CR[[#This Row],[DATE FILED]],HCT6_CR[[#This Row],[DATE CONCLUDED]],"Y")))</calculatedColumnFormula>
    </tableColumn>
    <tableColumn id="21" xr3:uid="{3F16F356-1358-477F-A5E3-CB623B5E04E0}" name="AVERAGE AGE " dataDxfId="22" totalsRowDxfId="21">
      <calculatedColumnFormula>IFERROR(AVERAGEIFS(HCT6_CR[[#This Row],[CURRENT AGE OF CASE]],HCT6_CR[[#This Row],[STATUS]],"ACTIVE",HCT6_CR[[#This Row],[CURRENT AGE OF CASE]],"&gt;0"),0)</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86D1D1-2494-4300-B998-BE3860B0F1B2}" name="HCT6_HL" displayName="HCT6_HL" ref="B12:O19" totalsRowShown="0" headerRowDxfId="20" dataDxfId="19" headerRowCellStyle="Style 1 2">
  <autoFilter ref="B12:O19" xr:uid="{3886D1D1-2494-4300-B998-BE3860B0F1B2}"/>
  <tableColumns count="14">
    <tableColumn id="1" xr3:uid="{4F968F22-F1A9-4E66-B907-7DF7F7DB0E19}" name="S/N" dataDxfId="18">
      <calculatedColumnFormula array="1">IF(HCT6_HL[[#This Row],[SUIT NUMBER]]="","",ROW()-ROW(HCT6_HL[#Headers]))</calculatedColumnFormula>
    </tableColumn>
    <tableColumn id="2" xr3:uid="{316498F8-F8D4-4AE5-A945-65BBB005CF52}" name="SUIT NUMBER" dataDxfId="17"/>
    <tableColumn id="3" xr3:uid="{401CED90-0948-406D-9BBB-806CD7E35A03}" name="PARTIES" dataDxfId="16">
      <calculatedColumnFormula array="1">_xlfn.XLOOKUP(HCT6_HL[[#This Row],[SUIT NUMBER]],HCT6_CR[SUIT NUMBER],UPPER(HCT6_CR[PARTIES]),"")&amp;""</calculatedColumnFormula>
    </tableColumn>
    <tableColumn id="4" xr3:uid="{6DDDB677-DA65-4B30-9D44-25662BDB00A8}" name="CLAIMANT COUNSEL" dataDxfId="15">
      <calculatedColumnFormula array="1">_xlfn.XLOOKUP(HCT6_HL[[#This Row],[SUIT NUMBER]],HCT6_CR[SUIT NUMBER],UPPER(HCT6_CR[CLAIMANT COUNSEL]),"")&amp;""</calculatedColumnFormula>
    </tableColumn>
    <tableColumn id="5" xr3:uid="{43434273-9FF6-4EBA-8C1A-3A65F35380EB}" name="DEFENDANT COUNSEL" dataDxfId="14">
      <calculatedColumnFormula array="1">_xlfn.XLOOKUP(HCT6_HL[[#This Row],[SUIT NUMBER]],HCT6_CR[SUIT NUMBER],UPPER(HCT6_CR[DEFENDANT COUNSEL]),"")&amp;""</calculatedColumnFormula>
    </tableColumn>
    <tableColumn id="8" xr3:uid="{CCFD6DAB-FB8A-4C43-8D99-423F64386ABC}" name="CASE TYPE" dataDxfId="13">
      <calculatedColumnFormula array="1">_xlfn.XLOOKUP(HCT6_HL[[#This Row],[SUIT NUMBER]],HCT6_CR[SUIT NUMBER],UPPER(HCT6_CR[CASE TYPE]),"")&amp;""</calculatedColumnFormula>
    </tableColumn>
    <tableColumn id="18" xr3:uid="{96AA8E73-9DFA-4405-ADE4-315ED0925C7A}" name="NATURE OF CLAIM/CRIME" dataDxfId="12">
      <calculatedColumnFormula array="1">_xlfn.XLOOKUP(HCT6_HL[[#This Row],[SUIT NUMBER]],HCT6_CR[SUIT NUMBER],UPPER(HCT6_CR[NATURE OF CLAIM]),"")&amp;""</calculatedColumnFormula>
    </tableColumn>
    <tableColumn id="9" xr3:uid="{FC73ACD5-16CB-4D64-9ED6-7E76B140DEC6}" name="HEARING DATE" dataDxfId="11"/>
    <tableColumn id="14" xr3:uid="{F8D8ED91-6E0B-40AD-B13B-E8F1B431E910}" name="PURPOSE" dataDxfId="10"/>
    <tableColumn id="15" xr3:uid="{FD7D1DEC-C7A8-4D83-AF16-DCEABB3F623C}" name="OUTCOME" dataDxfId="9"/>
    <tableColumn id="16" xr3:uid="{789B1EEB-BE46-4E76-8F05-FBF6351A8CD0}" name="NEXT ACTION" dataDxfId="8"/>
    <tableColumn id="17" xr3:uid="{D8BA897F-2E8A-4169-AD63-505FE477899A}" name="NEXT DATE" dataDxfId="7"/>
    <tableColumn id="6" xr3:uid="{32092837-0FED-4B9F-8F82-42F80166E97F}" name="RULING" dataDxfId="6"/>
    <tableColumn id="10" xr3:uid="{24250043-4E9E-47D2-B1E1-D84AF3DF5921}" name="DATE CONCLUDED"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jpeg" /><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1.bin"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rinterSettings" Target="../printerSettings/printerSettings2.bin" /></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drawing" Target="../drawings/drawing5.xml" /><Relationship Id="rId1" Type="http://schemas.openxmlformats.org/officeDocument/2006/relationships/printerSettings" Target="../printerSettings/printerSettings3.bin" /></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 /><Relationship Id="rId7" Type="http://schemas.openxmlformats.org/officeDocument/2006/relationships/table" Target="../tables/table8.xml" /><Relationship Id="rId2" Type="http://schemas.openxmlformats.org/officeDocument/2006/relationships/table" Target="../tables/table3.xml" /><Relationship Id="rId1" Type="http://schemas.openxmlformats.org/officeDocument/2006/relationships/table" Target="../tables/table2.xml" /><Relationship Id="rId6" Type="http://schemas.openxmlformats.org/officeDocument/2006/relationships/table" Target="../tables/table7.xml" /><Relationship Id="rId5" Type="http://schemas.openxmlformats.org/officeDocument/2006/relationships/table" Target="../tables/table6.xml" /><Relationship Id="rId4" Type="http://schemas.openxmlformats.org/officeDocument/2006/relationships/table" Target="../tables/table5.xml" /></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 /><Relationship Id="rId2" Type="http://schemas.openxmlformats.org/officeDocument/2006/relationships/drawing" Target="../drawings/drawing6.xml" /><Relationship Id="rId1" Type="http://schemas.openxmlformats.org/officeDocument/2006/relationships/printerSettings" Target="../printerSettings/printerSettings4.bin" /><Relationship Id="rId4" Type="http://schemas.microsoft.com/office/2007/relationships/slicer" Target="../slicers/slicer1.xml" /></Relationships>
</file>

<file path=xl/worksheets/_rels/sheet10.xml.rels><?xml version="1.0" encoding="UTF-8" standalone="yes"?>
<Relationships xmlns="http://schemas.openxmlformats.org/package/2006/relationships"><Relationship Id="rId3" Type="http://schemas.microsoft.com/office/2007/relationships/slicer" Target="../slicers/slicer2.xml" /><Relationship Id="rId2" Type="http://schemas.openxmlformats.org/officeDocument/2006/relationships/table" Target="../tables/table10.xml" /><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59A2-94F1-4AD1-A5A0-F745DE9CE079}">
  <sheetPr>
    <tabColor rgb="FFE2A700"/>
  </sheetPr>
  <dimension ref="D1:K1"/>
  <sheetViews>
    <sheetView showGridLines="0" showRowColHeaders="0" tabSelected="1" topLeftCell="B1" workbookViewId="0"/>
  </sheetViews>
  <sheetFormatPr defaultRowHeight="15" x14ac:dyDescent="0.2"/>
  <cols>
    <col min="4" max="4" width="25.828125" bestFit="1" customWidth="1"/>
    <col min="7" max="7" width="20.17578125" bestFit="1" customWidth="1"/>
    <col min="8" max="8" width="10.76171875" bestFit="1" customWidth="1"/>
    <col min="9" max="9" width="23.9453125" bestFit="1" customWidth="1"/>
    <col min="10" max="10" width="23.5390625" bestFit="1" customWidth="1"/>
  </cols>
  <sheetData>
    <row r="1" spans="4:11" x14ac:dyDescent="0.2">
      <c r="D1" s="265" t="str">
        <f>_xlfn.UNICHAR(128257) &amp;" UPDATE CASE REGISTER"</f>
        <v>🔁 UPDATE CASE REGISTER</v>
      </c>
      <c r="E1" s="265" t="str">
        <f>_xlfn.UNICHAR(128209)&amp;" HEARING LOG"</f>
        <v>📑 HEARING LOG</v>
      </c>
      <c r="F1" s="265"/>
      <c r="G1" s="265" t="str">
        <f>_xlfn.UNICHAR(128196) &amp; " AUTO CAUSE LIST"</f>
        <v>📄 AUTO CAUSE LIST</v>
      </c>
      <c r="H1" s="265" t="str">
        <f>_xlfn.UNICHAR(8505) &amp; " INSIGHTS"</f>
        <v>ℹ INSIGHTS</v>
      </c>
      <c r="I1" s="266" t="str">
        <f>_xlfn.UNICHAR(128100)&amp; "  COUNSEL DIRECTORY"</f>
        <v>👤  COUNSEL DIRECTORY</v>
      </c>
      <c r="J1" s="266" t="str">
        <f>_xlfn.UNICHAR(9997) &amp; "     QUARTERLY REPORTS"</f>
        <v>✍     QUARTERLY REPORTS</v>
      </c>
      <c r="K1" s="267"/>
    </row>
  </sheetData>
  <hyperlinks>
    <hyperlink ref="D1" location="'CASE REGISTER'!A1" display="CASE REGISTER" xr:uid="{950AAF64-CC54-413A-9303-992FDBE1D076}"/>
    <hyperlink ref="E1" location="'HEARING LOG'!A1" display="HEARING LOG" xr:uid="{8C133DE0-1BC5-47C5-933B-A90D48316A57}"/>
    <hyperlink ref="G1" location="'AUTO CAUSE LIST'!A1" display="AUTO CAUSE LIST" xr:uid="{489A7E48-6E1C-4E5C-A659-5537291D889F}"/>
    <hyperlink ref="H1" location="INSIGHTS!A1" display="INSIGHTS" xr:uid="{E4B189C9-F881-4513-A484-3A99D9BA9F76}"/>
    <hyperlink ref="I1" location="'COUNSEL DIRECTORY'!A1" tooltip="COUNSEL DIRECTORY" display="'COUNSEL DIRECTORY'!A1" xr:uid="{67050693-90C3-41F5-813B-5A79CF006EF5}"/>
    <hyperlink ref="J1" location="'QUARTER REPORT'!A1" tooltip="QUARTERLY REPORT" display="'QUARTER REPORT'!A1" xr:uid="{1014BDEF-6CDB-44C7-9F8D-18AB8923E999}"/>
  </hyperlinks>
  <pageMargins left="0.7" right="0.7" top="0.75" bottom="0.75" header="0.3" footer="0.3"/>
  <drawing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68DB-8A53-4166-AD1D-551888B6F01E}">
  <sheetPr>
    <tabColor theme="2" tint="-0.89999084444715716"/>
  </sheetPr>
  <dimension ref="A1:X79"/>
  <sheetViews>
    <sheetView showGridLines="0" showRowColHeaders="0" workbookViewId="0">
      <pane ySplit="15" topLeftCell="A16" activePane="bottomLeft" state="frozen"/>
      <selection pane="bottomLeft" activeCell="G1" sqref="G1"/>
    </sheetView>
  </sheetViews>
  <sheetFormatPr defaultColWidth="9.14453125" defaultRowHeight="15" x14ac:dyDescent="0.2"/>
  <cols>
    <col min="1" max="1" width="9.14453125" style="121"/>
    <col min="2" max="2" width="41.8359375" style="121" customWidth="1"/>
    <col min="3" max="3" width="25.828125" style="121" bestFit="1" customWidth="1"/>
    <col min="4" max="4" width="44.52734375" style="121" customWidth="1"/>
    <col min="5" max="5" width="20.17578125" style="121" bestFit="1" customWidth="1"/>
    <col min="6" max="6" width="10.76171875" style="121" bestFit="1" customWidth="1"/>
    <col min="7" max="16384" width="9.14453125" style="121"/>
  </cols>
  <sheetData>
    <row r="1" spans="1:24" x14ac:dyDescent="0.2">
      <c r="A1" s="53"/>
      <c r="B1" s="122" t="str">
        <f>_xlfn.UNICHAR(127968) &amp; " HOME"</f>
        <v>🏠 HOME</v>
      </c>
      <c r="C1" s="122" t="str">
        <f>_xlfn.UNICHAR(128257) &amp;" UPDATE CASE REGISTER"</f>
        <v>🔁 UPDATE CASE REGISTER</v>
      </c>
      <c r="D1" s="122" t="str">
        <f>_xlfn.UNICHAR(128209)&amp;" HEARING LOG"</f>
        <v>📑 HEARING LOG</v>
      </c>
      <c r="E1" s="122" t="str">
        <f>_xlfn.UNICHAR(128196) &amp; " AUTO CAUSE LIST"</f>
        <v>📄 AUTO CAUSE LIST</v>
      </c>
      <c r="F1" s="122" t="str">
        <f>_xlfn.UNICHAR(8505) &amp; " INSIGHTS"</f>
        <v>ℹ INSIGHTS</v>
      </c>
      <c r="G1" s="214" t="str">
        <f>_xlfn.UNICHAR(9997) &amp; "     QUARTERLY REPORTS"</f>
        <v>✍     QUARTERLY REPORTS</v>
      </c>
    </row>
    <row r="2" spans="1:24" x14ac:dyDescent="0.2">
      <c r="A2" s="123"/>
      <c r="B2" s="123"/>
      <c r="C2" s="123"/>
      <c r="D2" s="123"/>
      <c r="E2" s="123"/>
      <c r="F2" s="123"/>
      <c r="G2" s="123"/>
      <c r="H2" s="123"/>
      <c r="I2" s="123"/>
      <c r="J2" s="123"/>
      <c r="K2" s="123"/>
      <c r="L2" s="123"/>
      <c r="M2" s="123"/>
      <c r="N2" s="123"/>
      <c r="O2" s="123"/>
      <c r="P2" s="123"/>
      <c r="Q2" s="123"/>
      <c r="R2" s="123"/>
      <c r="S2" s="123"/>
      <c r="T2" s="123"/>
      <c r="U2" s="123"/>
      <c r="V2" s="123"/>
      <c r="W2" s="123"/>
      <c r="X2" s="123"/>
    </row>
    <row r="3" spans="1:24" x14ac:dyDescent="0.2">
      <c r="A3" s="123"/>
      <c r="B3" s="123"/>
      <c r="C3" s="123"/>
      <c r="D3" s="123"/>
      <c r="E3" s="123"/>
      <c r="F3" s="123"/>
      <c r="G3" s="123"/>
      <c r="H3" s="123"/>
      <c r="I3" s="123"/>
      <c r="J3" s="123"/>
      <c r="K3" s="123"/>
      <c r="L3" s="123"/>
      <c r="M3" s="123"/>
      <c r="N3" s="123"/>
      <c r="O3" s="123"/>
      <c r="P3" s="123"/>
      <c r="Q3" s="123"/>
      <c r="R3" s="123"/>
      <c r="S3" s="123"/>
      <c r="T3" s="123"/>
      <c r="U3" s="123"/>
      <c r="V3" s="123"/>
      <c r="W3" s="123"/>
      <c r="X3" s="123"/>
    </row>
    <row r="4" spans="1:24" x14ac:dyDescent="0.2">
      <c r="A4" s="123"/>
      <c r="B4" s="123"/>
      <c r="C4" s="123"/>
      <c r="D4" s="123"/>
      <c r="E4" s="123"/>
      <c r="F4" s="123"/>
      <c r="G4" s="123"/>
      <c r="H4" s="123"/>
      <c r="I4" s="123"/>
      <c r="J4" s="123"/>
      <c r="K4" s="123"/>
      <c r="L4" s="123"/>
      <c r="M4" s="123"/>
      <c r="N4" s="123"/>
      <c r="O4" s="123"/>
      <c r="P4" s="123"/>
      <c r="Q4" s="123"/>
      <c r="R4" s="123"/>
      <c r="S4" s="123"/>
      <c r="T4" s="123"/>
      <c r="U4" s="123"/>
      <c r="V4" s="123"/>
      <c r="W4" s="123"/>
      <c r="X4" s="123"/>
    </row>
    <row r="5" spans="1:24" x14ac:dyDescent="0.2">
      <c r="A5" s="123"/>
      <c r="B5" s="123"/>
      <c r="C5" s="123"/>
      <c r="D5" s="123"/>
      <c r="E5" s="123"/>
      <c r="F5" s="123"/>
      <c r="G5" s="123"/>
      <c r="H5" s="123"/>
      <c r="I5" s="123"/>
      <c r="J5" s="123"/>
      <c r="K5" s="123"/>
      <c r="L5" s="123"/>
      <c r="M5" s="123"/>
      <c r="N5" s="123"/>
      <c r="O5" s="123"/>
      <c r="P5" s="123"/>
      <c r="Q5" s="123"/>
      <c r="R5" s="123"/>
      <c r="S5" s="123"/>
      <c r="T5" s="123"/>
      <c r="U5" s="123"/>
      <c r="V5" s="123"/>
      <c r="W5" s="123"/>
      <c r="X5" s="123"/>
    </row>
    <row r="6" spans="1:24" x14ac:dyDescent="0.2">
      <c r="A6" s="123"/>
      <c r="B6" s="123"/>
      <c r="C6" s="123"/>
      <c r="D6" s="123"/>
      <c r="E6" s="123"/>
      <c r="F6" s="123"/>
      <c r="G6" s="123"/>
      <c r="H6" s="123"/>
      <c r="I6" s="123"/>
      <c r="J6" s="123"/>
      <c r="K6" s="123"/>
      <c r="L6" s="123"/>
      <c r="M6" s="123"/>
      <c r="N6" s="123"/>
      <c r="O6" s="123"/>
      <c r="P6" s="123"/>
      <c r="Q6" s="123"/>
      <c r="R6" s="123"/>
      <c r="S6" s="123"/>
      <c r="T6" s="123"/>
      <c r="U6" s="123"/>
      <c r="V6" s="123"/>
      <c r="W6" s="123"/>
      <c r="X6" s="123"/>
    </row>
    <row r="7" spans="1:24" x14ac:dyDescent="0.2">
      <c r="A7" s="123"/>
      <c r="B7" s="123"/>
      <c r="C7" s="123"/>
      <c r="D7" s="123"/>
      <c r="E7" s="123"/>
      <c r="F7" s="123"/>
      <c r="G7" s="123"/>
      <c r="H7" s="123"/>
      <c r="I7" s="123"/>
      <c r="J7" s="123"/>
      <c r="K7" s="123"/>
      <c r="L7" s="123"/>
      <c r="M7" s="123"/>
      <c r="N7" s="123"/>
      <c r="O7" s="123"/>
      <c r="P7" s="123"/>
      <c r="Q7" s="123"/>
      <c r="R7" s="123"/>
      <c r="S7" s="123"/>
      <c r="T7" s="123"/>
      <c r="U7" s="123"/>
      <c r="V7" s="123"/>
      <c r="W7" s="123"/>
      <c r="X7" s="123"/>
    </row>
    <row r="8" spans="1:24" x14ac:dyDescent="0.2">
      <c r="A8" s="123"/>
      <c r="B8" s="123"/>
      <c r="C8" s="123"/>
      <c r="D8" s="123"/>
      <c r="E8" s="123"/>
      <c r="F8" s="123"/>
      <c r="G8" s="123"/>
      <c r="H8" s="123"/>
      <c r="I8" s="123"/>
      <c r="J8" s="123"/>
      <c r="K8" s="123"/>
      <c r="L8" s="123"/>
      <c r="M8" s="123"/>
      <c r="N8" s="123"/>
      <c r="O8" s="123"/>
      <c r="P8" s="123"/>
      <c r="Q8" s="123"/>
      <c r="R8" s="123"/>
      <c r="S8" s="123"/>
      <c r="T8" s="123"/>
      <c r="U8" s="123"/>
      <c r="V8" s="123"/>
      <c r="W8" s="123"/>
      <c r="X8" s="123"/>
    </row>
    <row r="9" spans="1:24" x14ac:dyDescent="0.2">
      <c r="A9" s="123"/>
      <c r="B9" s="123"/>
      <c r="C9" s="123"/>
      <c r="D9" s="123"/>
      <c r="E9" s="123"/>
      <c r="F9" s="123"/>
      <c r="G9" s="123"/>
      <c r="H9" s="123"/>
      <c r="I9" s="123"/>
      <c r="J9" s="123"/>
      <c r="K9" s="123"/>
      <c r="L9" s="123"/>
      <c r="M9" s="123"/>
      <c r="N9" s="123"/>
      <c r="O9" s="123"/>
      <c r="P9" s="123"/>
      <c r="Q9" s="123"/>
      <c r="R9" s="123"/>
      <c r="S9" s="123"/>
      <c r="T9" s="123"/>
      <c r="U9" s="123"/>
      <c r="V9" s="123"/>
      <c r="W9" s="123"/>
      <c r="X9" s="123"/>
    </row>
    <row r="10" spans="1:24" x14ac:dyDescent="0.2">
      <c r="A10" s="123"/>
      <c r="B10" s="123"/>
      <c r="C10" s="123"/>
      <c r="D10" s="123"/>
      <c r="E10" s="123"/>
      <c r="F10" s="123"/>
      <c r="G10" s="123"/>
      <c r="H10" s="123"/>
      <c r="I10" s="123"/>
      <c r="J10" s="123"/>
      <c r="K10" s="123"/>
      <c r="L10" s="123"/>
      <c r="M10" s="123"/>
      <c r="N10" s="123"/>
      <c r="O10" s="123"/>
      <c r="P10" s="123"/>
      <c r="Q10" s="123"/>
      <c r="R10" s="123"/>
      <c r="S10" s="123"/>
      <c r="T10" s="123"/>
      <c r="U10" s="123"/>
      <c r="V10" s="123"/>
      <c r="W10" s="123"/>
      <c r="X10" s="123"/>
    </row>
    <row r="11" spans="1:24" x14ac:dyDescent="0.2">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row>
    <row r="12" spans="1:24" x14ac:dyDescent="0.2">
      <c r="A12" s="123"/>
      <c r="B12" s="123"/>
      <c r="C12" s="123"/>
      <c r="D12" s="123"/>
      <c r="E12" s="123"/>
      <c r="F12" s="123"/>
      <c r="G12" s="123"/>
      <c r="H12" s="123"/>
      <c r="I12" s="123"/>
      <c r="J12" s="123"/>
      <c r="K12" s="123"/>
      <c r="L12" s="123"/>
      <c r="M12" s="123"/>
      <c r="N12" s="123"/>
      <c r="O12" s="123"/>
      <c r="P12" s="123"/>
      <c r="Q12" s="123"/>
      <c r="R12" s="123"/>
      <c r="S12" s="123"/>
      <c r="T12" s="123"/>
      <c r="U12" s="123"/>
      <c r="V12" s="123"/>
      <c r="W12" s="123"/>
      <c r="X12" s="123"/>
    </row>
    <row r="13" spans="1:24" x14ac:dyDescent="0.2">
      <c r="A13" s="123"/>
      <c r="B13" s="123"/>
      <c r="C13" s="123"/>
      <c r="D13" s="123"/>
      <c r="E13" s="123"/>
      <c r="F13" s="123"/>
      <c r="G13" s="123"/>
      <c r="H13" s="123"/>
      <c r="I13" s="123"/>
      <c r="J13" s="123"/>
      <c r="K13" s="123"/>
      <c r="L13" s="123"/>
      <c r="M13" s="123"/>
      <c r="N13" s="123"/>
      <c r="O13" s="123"/>
      <c r="P13" s="123"/>
      <c r="Q13" s="123"/>
      <c r="R13" s="123"/>
      <c r="S13" s="123"/>
      <c r="T13" s="123"/>
      <c r="U13" s="123"/>
      <c r="V13" s="123"/>
      <c r="W13" s="123"/>
      <c r="X13" s="123"/>
    </row>
    <row r="14" spans="1:24" x14ac:dyDescent="0.2">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row>
    <row r="15" spans="1:24" ht="18.75" thickBot="1" x14ac:dyDescent="0.3">
      <c r="A15" s="123"/>
      <c r="B15" s="148" t="str">
        <f>_xlfn.UNICHAR(128100)&amp; "   COUNSEL NAME"</f>
        <v>👤   COUNSEL NAME</v>
      </c>
      <c r="C15" s="253" t="str">
        <f>_xlfn.UNICHAR(9742)&amp; "  PHONE NUMBER"</f>
        <v>☎  PHONE NUMBER</v>
      </c>
      <c r="D15" s="148" t="str">
        <f>_xlfn.UNICHAR(9993)&amp;"  E-MAIL"</f>
        <v>✉  E-MAIL</v>
      </c>
      <c r="E15" s="123"/>
      <c r="F15" s="123"/>
      <c r="G15" s="123"/>
      <c r="H15" s="123"/>
      <c r="I15" s="123"/>
      <c r="J15" s="123"/>
      <c r="K15" s="123"/>
      <c r="L15" s="123"/>
      <c r="M15" s="123"/>
      <c r="N15" s="123"/>
      <c r="O15" s="123"/>
      <c r="P15" s="123"/>
      <c r="Q15" s="123"/>
      <c r="R15" s="123"/>
      <c r="S15" s="123"/>
      <c r="T15" s="123"/>
      <c r="U15" s="123"/>
      <c r="V15" s="123"/>
      <c r="W15" s="123"/>
      <c r="X15" s="123"/>
    </row>
    <row r="16" spans="1:24" ht="15.75" thickTop="1" x14ac:dyDescent="0.2">
      <c r="A16" s="125" t="str">
        <f>IF(B16="","",COUNTA(B$16:$B16))</f>
        <v/>
      </c>
      <c r="B16" s="254" t="str" cm="1">
        <f t="array" ref="B16">IFERROR(_xlfn.LET(
_xlpm.claimant, _xlfn.CHOOSECOLS(HCT6_CR[],7,8,9),
_xlpm.defendant, _xlfn.CHOOSECOLS(HCT6_CR[],10,11,12),
_xlpm.all_counsel,_xlfn.VSTACK(_xlpm.claimant, _xlpm.defendant),
_xlpm.nonblank, _xlfn._xlws.FILTER(_xlpm.all_counsel,_xlfn.CHOOSECOLS(_xlpm.all_counsel,1)&lt;&gt; ""),
_xlpm.unique_names, _xlfn.UNIQUE(_xlfn.CHOOSECOLS(_xlpm.nonblank,1)),
_xlpm.phone_lookup, _xlfn.XLOOKUP(_xlpm.unique_names,_xlfn.CHOOSECOLS(_xlpm.nonblank,1),_xlfn.CHOOSECOLS(_xlpm.nonblank,2),""),
_xlpm.email_lookup, _xlfn.XLOOKUP(_xlpm.unique_names, _xlfn.CHOOSECOLS(_xlpm.nonblank,1),_xlfn.CHOOSECOLS(_xlpm.nonblank,3),""),
_xlfn.HSTACK(UPPER(_xlpm.unique_names),_xlpm.phone_lookup,LOWER(_xlpm.email_lookup))
),
"")</f>
        <v/>
      </c>
      <c r="C16" s="249"/>
      <c r="D16" s="249"/>
      <c r="E16" s="123"/>
      <c r="F16" s="123"/>
      <c r="G16" s="123"/>
      <c r="H16" s="123"/>
      <c r="I16" s="123"/>
      <c r="J16" s="123"/>
      <c r="K16" s="123"/>
      <c r="L16" s="123"/>
      <c r="M16" s="123"/>
      <c r="N16" s="123"/>
      <c r="O16" s="123"/>
      <c r="P16" s="123"/>
      <c r="Q16" s="123"/>
      <c r="R16" s="123"/>
      <c r="S16" s="123"/>
      <c r="T16" s="123"/>
      <c r="U16" s="123"/>
      <c r="V16" s="123"/>
      <c r="W16" s="123"/>
      <c r="X16" s="123"/>
    </row>
    <row r="17" spans="1:24" x14ac:dyDescent="0.2">
      <c r="A17" s="123"/>
      <c r="B17" s="123"/>
      <c r="C17" s="123"/>
      <c r="D17" s="123"/>
      <c r="E17" s="123"/>
      <c r="F17" s="123"/>
      <c r="G17" s="123"/>
      <c r="H17" s="123"/>
      <c r="I17" s="123"/>
      <c r="J17" s="123"/>
      <c r="K17" s="123"/>
      <c r="L17" s="123"/>
      <c r="M17" s="123"/>
      <c r="N17" s="123"/>
      <c r="O17" s="123"/>
      <c r="P17" s="123"/>
      <c r="Q17" s="123"/>
      <c r="R17" s="123"/>
      <c r="S17" s="123"/>
      <c r="T17" s="123"/>
      <c r="U17" s="123"/>
      <c r="V17" s="123"/>
      <c r="W17" s="123"/>
      <c r="X17" s="123"/>
    </row>
    <row r="18" spans="1:24" x14ac:dyDescent="0.2">
      <c r="A18" s="123"/>
      <c r="B18" s="123"/>
      <c r="C18" s="123"/>
      <c r="D18" s="123"/>
      <c r="E18" s="123"/>
      <c r="F18" s="123"/>
      <c r="G18" s="123"/>
      <c r="H18" s="123"/>
      <c r="I18" s="123"/>
      <c r="J18" s="123"/>
      <c r="K18" s="123"/>
      <c r="L18" s="123"/>
      <c r="M18" s="123"/>
      <c r="N18" s="123"/>
      <c r="O18" s="123"/>
      <c r="P18" s="123"/>
      <c r="Q18" s="123"/>
      <c r="R18" s="123"/>
      <c r="S18" s="123"/>
      <c r="T18" s="123"/>
      <c r="U18" s="123"/>
      <c r="V18" s="123"/>
      <c r="W18" s="123"/>
      <c r="X18" s="123"/>
    </row>
    <row r="19" spans="1:24" x14ac:dyDescent="0.2">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row>
    <row r="20" spans="1:24" x14ac:dyDescent="0.2">
      <c r="A20" s="123"/>
      <c r="B20" s="123"/>
      <c r="C20" s="123"/>
      <c r="D20" s="123"/>
      <c r="E20" s="123"/>
      <c r="F20" s="123"/>
      <c r="G20" s="123"/>
      <c r="H20" s="123"/>
      <c r="I20" s="123"/>
      <c r="J20" s="123"/>
      <c r="K20" s="123"/>
      <c r="L20" s="123"/>
      <c r="M20" s="123"/>
      <c r="N20" s="123"/>
      <c r="O20" s="123"/>
      <c r="P20" s="123"/>
      <c r="Q20" s="123"/>
      <c r="R20" s="123"/>
      <c r="S20" s="123"/>
      <c r="T20" s="123"/>
      <c r="U20" s="123"/>
      <c r="V20" s="123"/>
      <c r="W20" s="123"/>
      <c r="X20" s="123"/>
    </row>
    <row r="21" spans="1:24" x14ac:dyDescent="0.2">
      <c r="A21" s="123"/>
      <c r="B21" s="123"/>
      <c r="C21" s="123"/>
      <c r="D21" s="123"/>
      <c r="E21" s="123"/>
      <c r="F21" s="123"/>
      <c r="G21" s="123"/>
      <c r="H21" s="123"/>
      <c r="I21" s="123"/>
      <c r="J21" s="123"/>
      <c r="K21" s="123"/>
      <c r="L21" s="123"/>
      <c r="M21" s="123"/>
      <c r="N21" s="123"/>
      <c r="O21" s="123"/>
      <c r="P21" s="123"/>
      <c r="Q21" s="123"/>
      <c r="R21" s="123"/>
      <c r="S21" s="123"/>
      <c r="T21" s="123"/>
      <c r="U21" s="123"/>
      <c r="V21" s="123"/>
      <c r="W21" s="123"/>
      <c r="X21" s="123"/>
    </row>
    <row r="22" spans="1:24" x14ac:dyDescent="0.2">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row>
    <row r="23" spans="1:24" x14ac:dyDescent="0.2">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row>
    <row r="24" spans="1:24" x14ac:dyDescent="0.2">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row>
    <row r="25" spans="1:24" x14ac:dyDescent="0.2">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row>
    <row r="26" spans="1:24" x14ac:dyDescent="0.2">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row>
    <row r="27" spans="1:24" x14ac:dyDescent="0.2">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row>
    <row r="28" spans="1:24" x14ac:dyDescent="0.2">
      <c r="A28" s="123"/>
      <c r="B28" s="123"/>
      <c r="C28" s="123"/>
      <c r="D28" s="123"/>
      <c r="E28" s="123"/>
      <c r="F28" s="123"/>
      <c r="G28" s="123"/>
      <c r="H28" s="123"/>
      <c r="I28" s="123"/>
      <c r="J28" s="123"/>
      <c r="K28" s="123"/>
      <c r="L28" s="123"/>
      <c r="M28" s="123"/>
      <c r="N28" s="123"/>
      <c r="O28" s="123"/>
      <c r="P28" s="123"/>
      <c r="Q28" s="123"/>
      <c r="R28" s="123"/>
      <c r="S28" s="123"/>
      <c r="T28" s="123"/>
      <c r="U28" s="123"/>
      <c r="V28" s="123"/>
      <c r="W28" s="123"/>
      <c r="X28" s="123"/>
    </row>
    <row r="29" spans="1:24" x14ac:dyDescent="0.2">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row>
    <row r="30" spans="1:24" x14ac:dyDescent="0.2">
      <c r="A30" s="123"/>
      <c r="B30" s="123"/>
      <c r="C30" s="123"/>
      <c r="D30" s="123"/>
      <c r="E30" s="123"/>
      <c r="F30" s="123"/>
      <c r="G30" s="123"/>
      <c r="H30" s="123"/>
      <c r="I30" s="123"/>
      <c r="J30" s="123"/>
      <c r="K30" s="123"/>
      <c r="L30" s="123"/>
      <c r="M30" s="123"/>
      <c r="N30" s="123"/>
      <c r="O30" s="123"/>
      <c r="P30" s="123"/>
      <c r="Q30" s="123"/>
      <c r="R30" s="123"/>
      <c r="S30" s="123"/>
      <c r="T30" s="123"/>
      <c r="U30" s="123"/>
      <c r="V30" s="123"/>
      <c r="W30" s="123"/>
      <c r="X30" s="123"/>
    </row>
    <row r="31" spans="1:24" x14ac:dyDescent="0.2">
      <c r="A31" s="123"/>
      <c r="B31" s="123"/>
      <c r="C31" s="123"/>
      <c r="D31" s="123"/>
      <c r="E31" s="123"/>
      <c r="F31" s="123"/>
      <c r="G31" s="123"/>
      <c r="H31" s="123"/>
      <c r="I31" s="123"/>
      <c r="J31" s="123"/>
      <c r="K31" s="123"/>
      <c r="L31" s="123"/>
      <c r="M31" s="123"/>
      <c r="N31" s="123"/>
      <c r="O31" s="123"/>
      <c r="P31" s="123"/>
      <c r="Q31" s="123"/>
      <c r="R31" s="123"/>
      <c r="S31" s="123"/>
      <c r="T31" s="123"/>
      <c r="U31" s="123"/>
      <c r="V31" s="123"/>
      <c r="W31" s="123"/>
      <c r="X31" s="123"/>
    </row>
    <row r="32" spans="1:24" x14ac:dyDescent="0.2">
      <c r="A32" s="123"/>
      <c r="B32" s="123"/>
      <c r="C32" s="123"/>
      <c r="D32" s="123"/>
      <c r="E32" s="123"/>
      <c r="F32" s="123"/>
      <c r="G32" s="123"/>
      <c r="H32" s="123"/>
      <c r="I32" s="123"/>
      <c r="J32" s="123"/>
      <c r="K32" s="123"/>
      <c r="L32" s="123"/>
      <c r="M32" s="123"/>
      <c r="N32" s="123"/>
      <c r="O32" s="123"/>
      <c r="P32" s="123"/>
      <c r="Q32" s="123"/>
      <c r="R32" s="123"/>
      <c r="S32" s="123"/>
      <c r="T32" s="123"/>
      <c r="U32" s="123"/>
      <c r="V32" s="123"/>
      <c r="W32" s="123"/>
      <c r="X32" s="123"/>
    </row>
    <row r="33" spans="1:24" x14ac:dyDescent="0.2">
      <c r="A33" s="123"/>
      <c r="B33" s="123"/>
      <c r="C33" s="123"/>
      <c r="D33" s="123"/>
      <c r="E33" s="123"/>
      <c r="F33" s="123"/>
      <c r="G33" s="123"/>
      <c r="H33" s="123"/>
      <c r="I33" s="123"/>
      <c r="J33" s="123"/>
      <c r="K33" s="123"/>
      <c r="L33" s="123"/>
      <c r="M33" s="123"/>
      <c r="N33" s="123"/>
      <c r="O33" s="123"/>
      <c r="P33" s="123"/>
      <c r="Q33" s="123"/>
      <c r="R33" s="123"/>
      <c r="S33" s="123"/>
      <c r="T33" s="123"/>
      <c r="U33" s="123"/>
      <c r="V33" s="123"/>
      <c r="W33" s="123"/>
      <c r="X33" s="123"/>
    </row>
    <row r="34" spans="1:24" x14ac:dyDescent="0.2">
      <c r="A34" s="123"/>
      <c r="B34" s="123"/>
      <c r="C34" s="123"/>
      <c r="D34" s="123"/>
      <c r="E34" s="123"/>
      <c r="F34" s="123"/>
      <c r="G34" s="123"/>
      <c r="H34" s="123"/>
      <c r="I34" s="123"/>
      <c r="J34" s="123"/>
      <c r="K34" s="123"/>
      <c r="L34" s="123"/>
      <c r="M34" s="123"/>
      <c r="N34" s="123"/>
      <c r="O34" s="123"/>
      <c r="P34" s="123"/>
      <c r="Q34" s="123"/>
      <c r="R34" s="123"/>
      <c r="S34" s="123"/>
      <c r="T34" s="123"/>
      <c r="U34" s="123"/>
      <c r="V34" s="123"/>
      <c r="W34" s="123"/>
      <c r="X34" s="123"/>
    </row>
    <row r="35" spans="1:24" x14ac:dyDescent="0.2">
      <c r="A35" s="123"/>
      <c r="B35" s="123"/>
      <c r="C35" s="123"/>
      <c r="D35" s="123"/>
      <c r="E35" s="123"/>
      <c r="F35" s="123"/>
      <c r="G35" s="123"/>
      <c r="H35" s="123"/>
      <c r="I35" s="123"/>
      <c r="J35" s="123"/>
      <c r="K35" s="123"/>
      <c r="L35" s="123"/>
      <c r="M35" s="123"/>
      <c r="N35" s="123"/>
      <c r="O35" s="123"/>
      <c r="P35" s="123"/>
      <c r="Q35" s="123"/>
      <c r="R35" s="123"/>
      <c r="S35" s="123"/>
      <c r="T35" s="123"/>
      <c r="U35" s="123"/>
      <c r="V35" s="123"/>
      <c r="W35" s="123"/>
      <c r="X35" s="123"/>
    </row>
    <row r="36" spans="1:24" x14ac:dyDescent="0.2">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row>
    <row r="37" spans="1:24" x14ac:dyDescent="0.2">
      <c r="A37" s="123"/>
      <c r="B37" s="123"/>
      <c r="C37" s="123"/>
      <c r="D37" s="123"/>
      <c r="E37" s="123"/>
      <c r="F37" s="123"/>
      <c r="G37" s="123"/>
      <c r="H37" s="123"/>
      <c r="I37" s="123"/>
      <c r="J37" s="123"/>
      <c r="K37" s="123"/>
      <c r="L37" s="123"/>
      <c r="M37" s="123"/>
      <c r="N37" s="123"/>
      <c r="O37" s="123"/>
      <c r="P37" s="123"/>
      <c r="Q37" s="123"/>
      <c r="R37" s="123"/>
      <c r="S37" s="123"/>
      <c r="T37" s="123"/>
      <c r="U37" s="123"/>
      <c r="V37" s="123"/>
      <c r="W37" s="123"/>
      <c r="X37" s="123"/>
    </row>
    <row r="38" spans="1:24" x14ac:dyDescent="0.2">
      <c r="A38" s="123"/>
      <c r="B38" s="123"/>
      <c r="C38" s="123"/>
      <c r="D38" s="123"/>
      <c r="E38" s="123"/>
      <c r="F38" s="123"/>
      <c r="G38" s="123"/>
      <c r="H38" s="123"/>
      <c r="I38" s="123"/>
      <c r="J38" s="123"/>
      <c r="K38" s="123"/>
      <c r="L38" s="123"/>
      <c r="M38" s="123"/>
      <c r="N38" s="123"/>
      <c r="O38" s="123"/>
      <c r="P38" s="123"/>
      <c r="Q38" s="123"/>
      <c r="R38" s="123"/>
      <c r="S38" s="123"/>
      <c r="T38" s="123"/>
      <c r="U38" s="123"/>
      <c r="V38" s="123"/>
      <c r="W38" s="123"/>
      <c r="X38" s="123"/>
    </row>
    <row r="39" spans="1:24" x14ac:dyDescent="0.2">
      <c r="A39" s="123"/>
      <c r="B39" s="123"/>
      <c r="C39" s="123"/>
      <c r="D39" s="123"/>
      <c r="E39" s="123"/>
      <c r="F39" s="123"/>
      <c r="G39" s="123"/>
      <c r="H39" s="123"/>
      <c r="I39" s="123"/>
      <c r="J39" s="123"/>
      <c r="K39" s="123"/>
      <c r="L39" s="123"/>
      <c r="M39" s="123"/>
      <c r="N39" s="123"/>
      <c r="O39" s="123"/>
      <c r="P39" s="123"/>
      <c r="Q39" s="123"/>
      <c r="R39" s="123"/>
      <c r="S39" s="123"/>
      <c r="T39" s="123"/>
      <c r="U39" s="123"/>
      <c r="V39" s="123"/>
      <c r="W39" s="123"/>
      <c r="X39" s="123"/>
    </row>
    <row r="40" spans="1:24" x14ac:dyDescent="0.2">
      <c r="A40" s="123"/>
      <c r="B40" s="123"/>
      <c r="C40" s="123"/>
      <c r="D40" s="123"/>
      <c r="E40" s="123"/>
      <c r="F40" s="123"/>
      <c r="G40" s="123"/>
      <c r="H40" s="123"/>
      <c r="I40" s="123"/>
      <c r="J40" s="123"/>
      <c r="K40" s="123"/>
      <c r="L40" s="123"/>
      <c r="M40" s="123"/>
      <c r="N40" s="123"/>
      <c r="O40" s="123"/>
      <c r="P40" s="123"/>
      <c r="Q40" s="123"/>
      <c r="R40" s="123"/>
      <c r="S40" s="123"/>
      <c r="T40" s="123"/>
      <c r="U40" s="123"/>
      <c r="V40" s="123"/>
      <c r="W40" s="123"/>
      <c r="X40" s="123"/>
    </row>
    <row r="41" spans="1:24" x14ac:dyDescent="0.2">
      <c r="A41" s="123"/>
      <c r="B41" s="123"/>
      <c r="C41" s="123"/>
      <c r="D41" s="123"/>
      <c r="E41" s="123"/>
      <c r="F41" s="123"/>
      <c r="G41" s="123"/>
      <c r="H41" s="123"/>
      <c r="I41" s="123"/>
      <c r="J41" s="123"/>
      <c r="K41" s="123"/>
      <c r="L41" s="123"/>
      <c r="M41" s="123"/>
      <c r="N41" s="123"/>
      <c r="O41" s="123"/>
      <c r="P41" s="123"/>
      <c r="Q41" s="123"/>
      <c r="R41" s="123"/>
      <c r="S41" s="123"/>
      <c r="T41" s="123"/>
      <c r="U41" s="123"/>
      <c r="V41" s="123"/>
      <c r="W41" s="123"/>
      <c r="X41" s="123"/>
    </row>
    <row r="42" spans="1:24" x14ac:dyDescent="0.2">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row>
    <row r="43" spans="1:24" x14ac:dyDescent="0.2">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row>
    <row r="44" spans="1:24" x14ac:dyDescent="0.2">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row>
    <row r="45" spans="1:24" x14ac:dyDescent="0.2">
      <c r="A45" s="123"/>
      <c r="B45" s="123"/>
      <c r="C45" s="123"/>
      <c r="D45" s="123"/>
      <c r="E45" s="123"/>
      <c r="F45" s="123"/>
      <c r="G45" s="123"/>
      <c r="H45" s="123"/>
      <c r="I45" s="123"/>
      <c r="J45" s="123"/>
      <c r="K45" s="123"/>
      <c r="L45" s="123"/>
      <c r="M45" s="123"/>
      <c r="N45" s="123"/>
      <c r="O45" s="123"/>
      <c r="P45" s="123"/>
      <c r="Q45" s="123"/>
      <c r="R45" s="123"/>
      <c r="S45" s="123"/>
      <c r="T45" s="123"/>
      <c r="U45" s="123"/>
      <c r="V45" s="123"/>
      <c r="W45" s="123"/>
      <c r="X45" s="123"/>
    </row>
    <row r="46" spans="1:24" x14ac:dyDescent="0.2">
      <c r="A46" s="123"/>
      <c r="B46" s="123"/>
      <c r="C46" s="123"/>
      <c r="D46" s="123"/>
      <c r="E46" s="123"/>
      <c r="F46" s="123"/>
      <c r="G46" s="123"/>
      <c r="H46" s="123"/>
      <c r="I46" s="123"/>
      <c r="J46" s="123"/>
      <c r="K46" s="123"/>
      <c r="L46" s="123"/>
      <c r="M46" s="123"/>
      <c r="N46" s="123"/>
      <c r="O46" s="123"/>
      <c r="P46" s="123"/>
      <c r="Q46" s="123"/>
      <c r="R46" s="123"/>
      <c r="S46" s="123"/>
      <c r="T46" s="123"/>
      <c r="U46" s="123"/>
      <c r="V46" s="123"/>
      <c r="W46" s="123"/>
      <c r="X46" s="123"/>
    </row>
    <row r="47" spans="1:24" x14ac:dyDescent="0.2">
      <c r="A47" s="123"/>
      <c r="B47" s="123"/>
      <c r="C47" s="123"/>
      <c r="D47" s="123"/>
      <c r="E47" s="123"/>
      <c r="F47" s="123"/>
      <c r="G47" s="123"/>
      <c r="H47" s="123"/>
      <c r="I47" s="123"/>
      <c r="J47" s="123"/>
      <c r="K47" s="123"/>
      <c r="L47" s="123"/>
      <c r="M47" s="123"/>
      <c r="N47" s="123"/>
      <c r="O47" s="123"/>
      <c r="P47" s="123"/>
      <c r="Q47" s="123"/>
      <c r="R47" s="123"/>
      <c r="S47" s="123"/>
      <c r="T47" s="123"/>
      <c r="U47" s="123"/>
      <c r="V47" s="123"/>
      <c r="W47" s="123"/>
      <c r="X47" s="123"/>
    </row>
    <row r="48" spans="1:24" x14ac:dyDescent="0.2">
      <c r="A48" s="123"/>
      <c r="B48" s="123"/>
      <c r="C48" s="123"/>
      <c r="D48" s="123"/>
      <c r="E48" s="123"/>
      <c r="F48" s="123"/>
      <c r="G48" s="123"/>
      <c r="H48" s="123"/>
      <c r="I48" s="123"/>
      <c r="J48" s="123"/>
      <c r="K48" s="123"/>
      <c r="L48" s="123"/>
      <c r="M48" s="123"/>
      <c r="N48" s="123"/>
      <c r="O48" s="123"/>
      <c r="P48" s="123"/>
      <c r="Q48" s="123"/>
      <c r="R48" s="123"/>
      <c r="S48" s="123"/>
      <c r="T48" s="123"/>
      <c r="U48" s="123"/>
      <c r="V48" s="123"/>
      <c r="W48" s="123"/>
      <c r="X48" s="123"/>
    </row>
    <row r="49" spans="1:24" x14ac:dyDescent="0.2">
      <c r="A49" s="123"/>
      <c r="B49" s="123"/>
      <c r="C49" s="123"/>
      <c r="D49" s="123"/>
      <c r="E49" s="123"/>
      <c r="F49" s="123"/>
      <c r="G49" s="123"/>
      <c r="H49" s="123"/>
      <c r="I49" s="123"/>
      <c r="J49" s="123"/>
      <c r="K49" s="123"/>
      <c r="L49" s="123"/>
      <c r="M49" s="123"/>
      <c r="N49" s="123"/>
      <c r="O49" s="123"/>
      <c r="P49" s="123"/>
      <c r="Q49" s="123"/>
      <c r="R49" s="123"/>
      <c r="S49" s="123"/>
      <c r="T49" s="123"/>
      <c r="U49" s="123"/>
      <c r="V49" s="123"/>
      <c r="W49" s="123"/>
      <c r="X49" s="123"/>
    </row>
    <row r="50" spans="1:24" x14ac:dyDescent="0.2">
      <c r="A50" s="123"/>
      <c r="B50" s="123"/>
      <c r="C50" s="123"/>
      <c r="D50" s="123"/>
      <c r="E50" s="123"/>
      <c r="F50" s="123"/>
      <c r="G50" s="123"/>
      <c r="H50" s="123"/>
      <c r="I50" s="123"/>
      <c r="J50" s="123"/>
      <c r="K50" s="123"/>
      <c r="L50" s="123"/>
      <c r="M50" s="123"/>
      <c r="N50" s="123"/>
      <c r="O50" s="123"/>
      <c r="P50" s="123"/>
      <c r="Q50" s="123"/>
      <c r="R50" s="123"/>
      <c r="S50" s="123"/>
      <c r="T50" s="123"/>
      <c r="U50" s="123"/>
      <c r="V50" s="123"/>
      <c r="W50" s="123"/>
      <c r="X50" s="123"/>
    </row>
    <row r="51" spans="1:24" x14ac:dyDescent="0.2">
      <c r="A51" s="123"/>
      <c r="B51" s="123"/>
      <c r="C51" s="123"/>
      <c r="D51" s="123"/>
      <c r="E51" s="123"/>
      <c r="F51" s="123"/>
      <c r="G51" s="123"/>
      <c r="H51" s="123"/>
      <c r="I51" s="123"/>
      <c r="J51" s="123"/>
      <c r="K51" s="123"/>
      <c r="L51" s="123"/>
      <c r="M51" s="123"/>
      <c r="N51" s="123"/>
      <c r="O51" s="123"/>
      <c r="P51" s="123"/>
      <c r="Q51" s="123"/>
      <c r="R51" s="123"/>
      <c r="S51" s="123"/>
      <c r="T51" s="123"/>
      <c r="U51" s="123"/>
      <c r="V51" s="123"/>
      <c r="W51" s="123"/>
      <c r="X51" s="123"/>
    </row>
    <row r="52" spans="1:24" x14ac:dyDescent="0.2">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row>
    <row r="53" spans="1:24" x14ac:dyDescent="0.2">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row>
    <row r="54" spans="1:24" x14ac:dyDescent="0.2">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row>
    <row r="55" spans="1:24" x14ac:dyDescent="0.2">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row>
    <row r="56" spans="1:24" x14ac:dyDescent="0.2">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row>
    <row r="57" spans="1:24" x14ac:dyDescent="0.2">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row>
    <row r="58" spans="1:24" x14ac:dyDescent="0.2">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row>
    <row r="59" spans="1:24" x14ac:dyDescent="0.2">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row>
    <row r="60" spans="1:24" x14ac:dyDescent="0.2">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row>
    <row r="61" spans="1:24" x14ac:dyDescent="0.2">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row>
    <row r="62" spans="1:24" x14ac:dyDescent="0.2">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row>
    <row r="63" spans="1:24" x14ac:dyDescent="0.2">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row>
    <row r="64" spans="1:24" x14ac:dyDescent="0.2">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row>
    <row r="65" spans="1:24" x14ac:dyDescent="0.2">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row>
    <row r="66" spans="1:24" x14ac:dyDescent="0.2">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row>
    <row r="67" spans="1:24" x14ac:dyDescent="0.2">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row>
    <row r="68" spans="1:24" x14ac:dyDescent="0.2">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row>
    <row r="69" spans="1:24" x14ac:dyDescent="0.2">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row>
    <row r="70" spans="1:24" x14ac:dyDescent="0.2">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row>
    <row r="71" spans="1:24" x14ac:dyDescent="0.2">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row>
    <row r="72" spans="1:24" x14ac:dyDescent="0.2">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row>
    <row r="73" spans="1:24" x14ac:dyDescent="0.2">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row>
    <row r="74" spans="1:24" x14ac:dyDescent="0.2">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row>
    <row r="75" spans="1:24" x14ac:dyDescent="0.2">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row>
    <row r="76" spans="1:24" x14ac:dyDescent="0.2">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row>
    <row r="77" spans="1:24" x14ac:dyDescent="0.2">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row>
    <row r="78" spans="1:24" x14ac:dyDescent="0.2">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row>
    <row r="79" spans="1:24" x14ac:dyDescent="0.2">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row>
  </sheetData>
  <sheetProtection algorithmName="SHA-512" hashValue="IlOJeIHJ+ug6zW9GWOnwbbeBnHOlZyQx1tOGu/gNuIiHqNZd03Grs2apIuJxeh7oXiyICbarrbEO/H4toTUHEA==" saltValue="RnWaXlaUKWAba9dW+bdX8w==" spinCount="100000" sheet="1" objects="1" scenarios="1"/>
  <autoFilter ref="A15:D16" xr:uid="{49D668DB-8A53-4166-AD1D-551888B6F01E}"/>
  <hyperlinks>
    <hyperlink ref="C1" location="'CASE REGISTER'!A1" display="CASE REGISTER" xr:uid="{D00654DE-BF49-4DDA-A6EC-703C5D17143E}"/>
    <hyperlink ref="D1" location="'HEARING LOG'!A1" display="HEARING LOG" xr:uid="{C12591D1-5B48-45AF-9B0C-42D1735053E9}"/>
    <hyperlink ref="E1" location="'AUTO CAUSE LIST'!A1" display="AUTO CAUSE LIST" xr:uid="{556084CA-E918-4E60-B558-DDF77420CD98}"/>
    <hyperlink ref="F1" location="INSIGHTS!A1" display="INSIGHTS" xr:uid="{04343E23-24D5-4081-AEFC-7BFA4878CDDD}"/>
    <hyperlink ref="B1" location="'HOME PAGE'!A1" display="HOME" xr:uid="{62C068F6-59B5-456E-84F2-FD6F613388B8}"/>
    <hyperlink ref="G1" location="'QUARTER REPORT'!A1" tooltip="QUARTERLY REPORT" display="'QUARTER REPORT'!A1" xr:uid="{64E1A9D1-89DF-4061-BB62-1066C7EB7BE0}"/>
  </hyperlinks>
  <pageMargins left="0.7" right="0.7" top="0.75" bottom="0.75" header="0.3" footer="0.3"/>
  <ignoredErrors>
    <ignoredError sqref="C15" unlocked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73C0-76A5-4754-AA10-1D4E3DBFB481}">
  <sheetPr>
    <pageSetUpPr fitToPage="1"/>
  </sheetPr>
  <dimension ref="B1:P139"/>
  <sheetViews>
    <sheetView showGridLines="0" showRowColHeaders="0" zoomScale="80" zoomScaleNormal="80" workbookViewId="0">
      <pane ySplit="13" topLeftCell="A93" activePane="bottomLeft" state="frozen"/>
      <selection pane="bottomLeft" activeCell="B1" sqref="B1"/>
    </sheetView>
  </sheetViews>
  <sheetFormatPr defaultColWidth="9.14453125" defaultRowHeight="15" x14ac:dyDescent="0.2"/>
  <cols>
    <col min="1" max="1" width="9.14453125" style="53"/>
    <col min="2" max="2" width="11.8359375" style="53" bestFit="1" customWidth="1"/>
    <col min="3" max="3" width="25.828125" style="53" bestFit="1" customWidth="1"/>
    <col min="4" max="4" width="68.3359375" style="53" bestFit="1" customWidth="1"/>
    <col min="5" max="5" width="20.17578125" style="53" bestFit="1" customWidth="1"/>
    <col min="6" max="6" width="27.98046875" style="53" bestFit="1" customWidth="1"/>
    <col min="7" max="7" width="23.9453125" style="53" bestFit="1" customWidth="1"/>
    <col min="8" max="9" width="9.14453125" style="53"/>
    <col min="10" max="10" width="16.140625" style="53" bestFit="1" customWidth="1"/>
    <col min="11" max="11" width="9.14453125" style="53"/>
    <col min="12" max="12" width="10.0859375" style="53" bestFit="1" customWidth="1"/>
    <col min="13" max="13" width="16.94921875" style="53" bestFit="1" customWidth="1"/>
    <col min="14" max="16384" width="9.14453125" style="53"/>
  </cols>
  <sheetData>
    <row r="1" spans="2:16" x14ac:dyDescent="0.2">
      <c r="B1" s="216" t="str">
        <f>_xlfn.UNICHAR(127968)&amp;"     HOME"</f>
        <v>🏠     HOME</v>
      </c>
      <c r="C1" s="52" t="str">
        <f>_xlfn.UNICHAR(128257) &amp;" UPDATE CASE REGISTER"</f>
        <v>🔁 UPDATE CASE REGISTER</v>
      </c>
      <c r="D1" s="52" t="str">
        <f>_xlfn.UNICHAR(128209)&amp;" HEARING LOG"</f>
        <v>📑 HEARING LOG</v>
      </c>
      <c r="E1" s="52" t="str">
        <f>_xlfn.UNICHAR(128196) &amp; " AUTO CAUSE LIST"</f>
        <v>📄 AUTO CAUSE LIST</v>
      </c>
      <c r="F1" s="52" t="str">
        <f>_xlfn.UNICHAR(8505) &amp; " INSIGHTS"</f>
        <v>ℹ INSIGHTS</v>
      </c>
      <c r="G1" s="218" t="str">
        <f>_xlfn.UNICHAR(128100)&amp; "  COUNSEL DIRECTORY"</f>
        <v>👤  COUNSEL DIRECTORY</v>
      </c>
    </row>
    <row r="14" spans="2:16" x14ac:dyDescent="0.2">
      <c r="C14" s="219">
        <v>1</v>
      </c>
      <c r="D14" s="270" t="s">
        <v>401</v>
      </c>
      <c r="E14" s="270"/>
      <c r="F14" s="270"/>
      <c r="P14" s="220"/>
    </row>
    <row r="15" spans="2:16" ht="15.75" thickBot="1" x14ac:dyDescent="0.25">
      <c r="C15" s="219"/>
      <c r="P15" s="220"/>
    </row>
    <row r="16" spans="2:16" ht="15.75" thickBot="1" x14ac:dyDescent="0.25">
      <c r="C16" s="219"/>
      <c r="D16" s="53" t="s">
        <v>402</v>
      </c>
      <c r="F16" s="240" t="s">
        <v>78</v>
      </c>
      <c r="I16" s="53" t="s">
        <v>403</v>
      </c>
      <c r="J16" s="240" t="s">
        <v>123</v>
      </c>
      <c r="L16" s="53" t="s">
        <v>404</v>
      </c>
      <c r="M16" s="240" t="s">
        <v>406</v>
      </c>
      <c r="P16" s="220"/>
    </row>
    <row r="17" spans="3:16" x14ac:dyDescent="0.2">
      <c r="C17" s="219"/>
      <c r="P17" s="220"/>
    </row>
    <row r="18" spans="3:16" ht="15.75" thickBot="1" x14ac:dyDescent="0.25">
      <c r="C18" s="219"/>
      <c r="G18" s="53" t="s">
        <v>430</v>
      </c>
      <c r="I18" s="53" t="s">
        <v>329</v>
      </c>
      <c r="P18" s="220"/>
    </row>
    <row r="19" spans="3:16" ht="15.75" thickBot="1" x14ac:dyDescent="0.25">
      <c r="C19" s="219"/>
      <c r="D19" s="53" t="s">
        <v>419</v>
      </c>
      <c r="G19" s="241">
        <v>2026</v>
      </c>
      <c r="I19" s="242" t="s">
        <v>264</v>
      </c>
      <c r="P19" s="220"/>
    </row>
    <row r="20" spans="3:16" x14ac:dyDescent="0.2">
      <c r="C20" s="219"/>
      <c r="P20" s="220"/>
    </row>
    <row r="21" spans="3:16" x14ac:dyDescent="0.2">
      <c r="C21" s="219"/>
      <c r="P21" s="220"/>
    </row>
    <row r="22" spans="3:16" x14ac:dyDescent="0.2">
      <c r="C22" s="219"/>
      <c r="D22" s="53" t="s">
        <v>420</v>
      </c>
      <c r="G22" s="53" t="s">
        <v>421</v>
      </c>
      <c r="I22" s="53" t="s">
        <v>422</v>
      </c>
      <c r="P22" s="220"/>
    </row>
    <row r="23" spans="3:16" x14ac:dyDescent="0.2">
      <c r="C23" s="219"/>
      <c r="P23" s="220"/>
    </row>
    <row r="24" spans="3:16" x14ac:dyDescent="0.2">
      <c r="C24" s="219"/>
      <c r="P24" s="220"/>
    </row>
    <row r="25" spans="3:16" x14ac:dyDescent="0.2">
      <c r="C25" s="219">
        <v>2</v>
      </c>
      <c r="D25" s="271" t="s">
        <v>423</v>
      </c>
      <c r="E25" s="271"/>
      <c r="F25" s="271"/>
      <c r="P25" s="220"/>
    </row>
    <row r="26" spans="3:16" x14ac:dyDescent="0.2">
      <c r="C26" s="219"/>
      <c r="P26" s="220"/>
    </row>
    <row r="27" spans="3:16" x14ac:dyDescent="0.2">
      <c r="C27" s="219"/>
      <c r="D27" s="272" t="s">
        <v>424</v>
      </c>
      <c r="E27" s="272"/>
      <c r="F27" s="272"/>
      <c r="G27" s="272"/>
      <c r="H27" s="272"/>
      <c r="I27" s="272"/>
      <c r="J27" s="272"/>
      <c r="K27" s="272"/>
      <c r="L27" s="272"/>
      <c r="M27" s="272"/>
      <c r="P27" s="220"/>
    </row>
    <row r="28" spans="3:16" x14ac:dyDescent="0.2">
      <c r="C28" s="219"/>
      <c r="D28" s="272" t="s">
        <v>425</v>
      </c>
      <c r="E28" s="272"/>
      <c r="F28" s="272"/>
      <c r="G28" s="272"/>
      <c r="H28" s="272"/>
      <c r="I28" s="272"/>
      <c r="J28" s="272"/>
      <c r="K28" s="272"/>
      <c r="L28" s="272"/>
      <c r="M28" s="272"/>
      <c r="P28" s="220"/>
    </row>
    <row r="29" spans="3:16" x14ac:dyDescent="0.2">
      <c r="C29" s="219"/>
      <c r="D29" s="272" t="s">
        <v>426</v>
      </c>
      <c r="E29" s="272"/>
      <c r="F29" s="272"/>
      <c r="G29" s="272"/>
      <c r="H29" s="272"/>
      <c r="I29" s="272"/>
      <c r="J29" s="272"/>
      <c r="K29" s="272"/>
      <c r="L29" s="272"/>
      <c r="P29" s="220"/>
    </row>
    <row r="30" spans="3:16" x14ac:dyDescent="0.2">
      <c r="C30" s="219"/>
      <c r="D30" s="272" t="s">
        <v>427</v>
      </c>
      <c r="E30" s="272"/>
      <c r="F30" s="272"/>
      <c r="G30" s="272"/>
      <c r="H30" s="272"/>
      <c r="I30" s="272"/>
      <c r="J30" s="272"/>
      <c r="K30" s="272"/>
      <c r="L30" s="272"/>
      <c r="P30" s="220"/>
    </row>
    <row r="31" spans="3:16" x14ac:dyDescent="0.2">
      <c r="C31" s="219"/>
      <c r="P31" s="220"/>
    </row>
    <row r="32" spans="3:16" x14ac:dyDescent="0.2">
      <c r="C32" s="219">
        <v>3</v>
      </c>
      <c r="D32" s="273" t="s">
        <v>428</v>
      </c>
      <c r="E32" s="273"/>
      <c r="F32" s="273"/>
      <c r="G32" s="273"/>
      <c r="P32" s="220"/>
    </row>
    <row r="33" spans="3:16" x14ac:dyDescent="0.2">
      <c r="C33" s="219"/>
      <c r="D33" s="221" t="s">
        <v>432</v>
      </c>
      <c r="E33" s="221"/>
      <c r="F33" s="221"/>
      <c r="G33" s="221"/>
      <c r="P33" s="220"/>
    </row>
    <row r="34" spans="3:16" ht="15.75" thickBot="1" x14ac:dyDescent="0.25">
      <c r="C34" s="219"/>
      <c r="D34" s="221"/>
      <c r="E34" s="221"/>
      <c r="F34" s="221"/>
      <c r="G34" s="221"/>
      <c r="P34" s="220"/>
    </row>
    <row r="35" spans="3:16" ht="17.25" thickBot="1" x14ac:dyDescent="0.3">
      <c r="C35" s="219"/>
      <c r="D35" s="53" t="s">
        <v>429</v>
      </c>
      <c r="G35" s="247">
        <f>COUNTIFS(HCT6_CR[DATE ASSIGNED],"&gt;=" &amp;DATE($G$19,(VALUE(RIGHT($I$19,1))-1)*3+1,1),
        HCT6_CR[DATE ASSIGNED], "&lt;=" &amp;DATE($G$19,(VALUE(RIGHT($I$19,1))-1)*3+4,1)
)</f>
        <v>0</v>
      </c>
      <c r="I35" s="193"/>
      <c r="P35" s="220"/>
    </row>
    <row r="36" spans="3:16" x14ac:dyDescent="0.2">
      <c r="C36" s="219"/>
      <c r="P36" s="220"/>
    </row>
    <row r="37" spans="3:16" ht="15.75" thickBot="1" x14ac:dyDescent="0.25">
      <c r="C37" s="219"/>
      <c r="D37" s="272" t="s">
        <v>431</v>
      </c>
      <c r="E37" s="272"/>
      <c r="F37" s="272"/>
      <c r="P37" s="220"/>
    </row>
    <row r="38" spans="3:16" ht="15.75" thickBot="1" x14ac:dyDescent="0.25">
      <c r="C38" s="219"/>
      <c r="D38" s="53" t="s">
        <v>462</v>
      </c>
      <c r="G38" s="222">
        <f>COUNTIF(HCT6_CR[STATUS],"ACTIVE")</f>
        <v>0</v>
      </c>
      <c r="P38" s="220"/>
    </row>
    <row r="39" spans="3:16" x14ac:dyDescent="0.2">
      <c r="C39" s="219"/>
      <c r="P39" s="220"/>
    </row>
    <row r="40" spans="3:16" x14ac:dyDescent="0.2">
      <c r="C40" s="219"/>
      <c r="P40" s="220"/>
    </row>
    <row r="41" spans="3:16" ht="15.75" thickBot="1" x14ac:dyDescent="0.25">
      <c r="C41" s="219"/>
      <c r="D41" s="223" t="s">
        <v>433</v>
      </c>
      <c r="P41" s="220"/>
    </row>
    <row r="42" spans="3:16" ht="15.75" thickBot="1" x14ac:dyDescent="0.25">
      <c r="C42" s="219"/>
      <c r="D42" s="53" t="s">
        <v>434</v>
      </c>
      <c r="E42" s="53" t="s">
        <v>435</v>
      </c>
      <c r="G42" s="224" t="e" cm="1" vm="1">
        <f t="array" aca="1" ref="G42" ca="1">COUNTIF(
HCT6_HL[OUTCOME],"JUDGMENT DELIVERED")*
(YEAR(HCT6_HL[DATE CONCLUDED])=$G$19)*
(ROUNDUP(MONTH(HCT6_HL[DATE CONCLUDED])/3,0)=VALUE(RIGHT($I$19,1)))</f>
        <v>#VALUE!</v>
      </c>
      <c r="P42" s="220"/>
    </row>
    <row r="43" spans="3:16" ht="15.75" thickBot="1" x14ac:dyDescent="0.25">
      <c r="C43" s="219"/>
      <c r="D43" s="53" t="s">
        <v>434</v>
      </c>
      <c r="E43" s="53" t="s">
        <v>436</v>
      </c>
      <c r="P43" s="220"/>
    </row>
    <row r="44" spans="3:16" ht="15.75" thickBot="1" x14ac:dyDescent="0.25">
      <c r="C44" s="219"/>
      <c r="D44" s="53" t="s">
        <v>167</v>
      </c>
      <c r="G44" s="225" t="e" cm="1" vm="1">
        <f t="array" aca="1" ref="G44" ca="1">COUNTIF(
HCT6_HL[OUTCOME],"RULING DELIVERED")*
(YEAR(HCT6_HL[DATE CONCLUDED])=$G$19)*
(ROUNDUP(MONTH(HCT6_HL[DATE CONCLUDED])/3,0)=VALUE(RIGHT($I$19,1)))</f>
        <v>#VALUE!</v>
      </c>
      <c r="P44" s="220"/>
    </row>
    <row r="45" spans="3:16" ht="15.75" thickBot="1" x14ac:dyDescent="0.25">
      <c r="C45" s="219"/>
      <c r="D45" s="53" t="s">
        <v>437</v>
      </c>
      <c r="G45" s="226" t="e" cm="1" vm="1">
        <f t="array" aca="1" ref="G45" ca="1">COUNTIF(
HCT6_HL[OUTCOME],"STRUCK OUT")*
(YEAR(HCT6_HL[HEARING DATE])=$G$19)*
(ROUNDUP(MONTH(HCT6_HL[HEARING DATE])/3,0)=VALUE(RIGHT($I$19,1)))</f>
        <v>#VALUE!</v>
      </c>
      <c r="P45" s="220"/>
    </row>
    <row r="46" spans="3:16" ht="15.75" thickBot="1" x14ac:dyDescent="0.25">
      <c r="C46" s="219"/>
      <c r="D46" s="53" t="s">
        <v>438</v>
      </c>
      <c r="G46" s="227" t="e" cm="1" vm="1">
        <f t="array" aca="1" ref="G46" ca="1">COUNTIF(
HCT6_HL[OUTCOME],"WITHDRAWN")*
(YEAR(HCT6_HL[HEARING DATE])=$G$19)*
(ROUNDUP(MONTH(HCT6_HL[HEARING DATE])/3,0)=VALUE(RIGHT($I$19,1)))</f>
        <v>#VALUE!</v>
      </c>
      <c r="P46" s="220"/>
    </row>
    <row r="47" spans="3:16" x14ac:dyDescent="0.2">
      <c r="C47" s="219"/>
      <c r="D47" s="53" t="s">
        <v>439</v>
      </c>
      <c r="P47" s="220"/>
    </row>
    <row r="48" spans="3:16" x14ac:dyDescent="0.2">
      <c r="C48" s="219"/>
      <c r="P48" s="220"/>
    </row>
    <row r="49" spans="3:16" x14ac:dyDescent="0.2">
      <c r="C49" s="219"/>
      <c r="P49" s="220"/>
    </row>
    <row r="50" spans="3:16" ht="15.75" thickBot="1" x14ac:dyDescent="0.25">
      <c r="C50" s="219"/>
      <c r="D50" s="52" t="s">
        <v>440</v>
      </c>
      <c r="P50" s="220"/>
    </row>
    <row r="51" spans="3:16" ht="15.75" thickBot="1" x14ac:dyDescent="0.25">
      <c r="C51" s="219"/>
      <c r="D51" s="53" t="s">
        <v>441</v>
      </c>
      <c r="G51" s="228" t="e" cm="1" vm="1">
        <f t="array" aca="1" ref="G51" ca="1">COUNTIF(
HCT6_HL[PURPOSE],"HEARING")*
(YEAR(HCT6_HL[HEARING DATE])=$G$19)*
(ROUNDUP(MONTH(HCT6_HL[HEARING DATE])/3,0)=VALUE(RIGHT($I$19,1)))</f>
        <v>#VALUE!</v>
      </c>
      <c r="P51" s="220"/>
    </row>
    <row r="52" spans="3:16" ht="15.75" thickBot="1" x14ac:dyDescent="0.25">
      <c r="C52" s="219"/>
      <c r="D52" s="53" t="s">
        <v>442</v>
      </c>
      <c r="G52" s="229">
        <f ca="1">COUNTIF(HCT6_CR[CURRENT AGE OF CASE],"&gt;=1")</f>
        <v>0</v>
      </c>
      <c r="P52" s="220"/>
    </row>
    <row r="53" spans="3:16" ht="15.75" thickBot="1" x14ac:dyDescent="0.25">
      <c r="C53" s="219"/>
      <c r="D53" s="53" t="s">
        <v>443</v>
      </c>
      <c r="G53" s="230">
        <f ca="1">COUNTIF(HCT6_CR[CURRENT AGE OF CASE],"&lt;=5")</f>
        <v>0</v>
      </c>
      <c r="P53" s="220"/>
    </row>
    <row r="54" spans="3:16" x14ac:dyDescent="0.2">
      <c r="C54" s="219"/>
      <c r="P54" s="220"/>
    </row>
    <row r="55" spans="3:16" x14ac:dyDescent="0.2">
      <c r="C55" s="219"/>
      <c r="D55" s="53" t="s">
        <v>444</v>
      </c>
      <c r="P55" s="220"/>
    </row>
    <row r="56" spans="3:16" x14ac:dyDescent="0.2">
      <c r="C56" s="219"/>
      <c r="P56" s="220"/>
    </row>
    <row r="57" spans="3:16" ht="16.5" x14ac:dyDescent="0.25">
      <c r="C57" s="219"/>
      <c r="D57" s="231" t="str" cm="1">
        <f t="array" ref="D57">_xlfn._xlws.FILTER(
_xlfn.HSTACK(
HCT6_HL[SUIT NUMBER],
HCT6_HL[PARTIES],
HCT6_HL[CASE TYPE],
HCT6_HL[NATURE OF CLAIM/CRIME],
HCT6_HL[DATE CONCLUDED]
),
(HCT6_HL[OUTCOME]="JUDGMENT DELIVERED")*
(YEAR(HCT6_HL[DATE CONCLUDED])=$G$19)*
(ROUNDUP(MONTH(HCT6_HL[DATE CONCLUDED])/3,0)=VALUE(RIGHT($I$19,1))),
"NO DATA PROVIDED YET"
)</f>
        <v>NO DATA PROVIDED YET</v>
      </c>
      <c r="P57" s="220"/>
    </row>
    <row r="58" spans="3:16" x14ac:dyDescent="0.2">
      <c r="C58" s="219"/>
      <c r="P58" s="220"/>
    </row>
    <row r="59" spans="3:16" x14ac:dyDescent="0.2">
      <c r="C59" s="219"/>
      <c r="P59" s="220"/>
    </row>
    <row r="60" spans="3:16" x14ac:dyDescent="0.2">
      <c r="C60" s="219"/>
      <c r="P60" s="220"/>
    </row>
    <row r="61" spans="3:16" x14ac:dyDescent="0.2">
      <c r="C61" s="219"/>
      <c r="P61" s="220"/>
    </row>
    <row r="62" spans="3:16" x14ac:dyDescent="0.2">
      <c r="C62" s="219"/>
      <c r="P62" s="220"/>
    </row>
    <row r="63" spans="3:16" x14ac:dyDescent="0.2">
      <c r="C63" s="219"/>
      <c r="P63" s="220"/>
    </row>
    <row r="64" spans="3:16" x14ac:dyDescent="0.2">
      <c r="C64" s="219"/>
      <c r="P64" s="220"/>
    </row>
    <row r="65" spans="3:16" x14ac:dyDescent="0.2">
      <c r="C65" s="219"/>
      <c r="P65" s="220"/>
    </row>
    <row r="66" spans="3:16" x14ac:dyDescent="0.2">
      <c r="C66" s="219"/>
      <c r="P66" s="220"/>
    </row>
    <row r="67" spans="3:16" x14ac:dyDescent="0.2">
      <c r="C67" s="219"/>
      <c r="D67" s="53" t="s">
        <v>445</v>
      </c>
      <c r="P67" s="220"/>
    </row>
    <row r="68" spans="3:16" x14ac:dyDescent="0.2">
      <c r="C68" s="219"/>
      <c r="P68" s="220"/>
    </row>
    <row r="69" spans="3:16" ht="16.5" x14ac:dyDescent="0.25">
      <c r="C69" s="219"/>
      <c r="D69" s="231" t="str" cm="1">
        <f t="array" ref="D69">_xlfn._xlws.FILTER(
_xlfn.HSTACK(
HCT6_HL[SUIT NUMBER],
HCT6_HL[PARTIES],
HCT6_HL[CASE TYPE],
HCT6_HL[NATURE OF CLAIM/CRIME],
HCT6_HL[DATE CONCLUDED]
),
(HCT6_HL[OUTCOME]="JUDGMENT DELIVERED")*
(YEAR(HCT6_HL[DATE CONCLUDED])=$G$19)*
(ROUNDUP(MONTH(HCT6_HL[DATE CONCLUDED])/3,0)=VALUE(RIGHT($I$19,1))),
"NO DATA PROVIDED YET"
)</f>
        <v>NO DATA PROVIDED YET</v>
      </c>
      <c r="P69" s="220"/>
    </row>
    <row r="70" spans="3:16" x14ac:dyDescent="0.2">
      <c r="C70" s="219"/>
      <c r="P70" s="220"/>
    </row>
    <row r="71" spans="3:16" x14ac:dyDescent="0.2">
      <c r="C71" s="219"/>
      <c r="P71" s="220"/>
    </row>
    <row r="72" spans="3:16" x14ac:dyDescent="0.2">
      <c r="C72" s="219"/>
      <c r="P72" s="220"/>
    </row>
    <row r="73" spans="3:16" x14ac:dyDescent="0.2">
      <c r="C73" s="219"/>
      <c r="P73" s="220"/>
    </row>
    <row r="74" spans="3:16" x14ac:dyDescent="0.2">
      <c r="C74" s="219"/>
      <c r="P74" s="220"/>
    </row>
    <row r="75" spans="3:16" x14ac:dyDescent="0.2">
      <c r="C75" s="219"/>
      <c r="P75" s="220"/>
    </row>
    <row r="76" spans="3:16" x14ac:dyDescent="0.2">
      <c r="C76" s="219"/>
      <c r="P76" s="220"/>
    </row>
    <row r="77" spans="3:16" x14ac:dyDescent="0.2">
      <c r="C77" s="219"/>
      <c r="P77" s="220"/>
    </row>
    <row r="78" spans="3:16" x14ac:dyDescent="0.2">
      <c r="C78" s="219"/>
      <c r="P78" s="220"/>
    </row>
    <row r="79" spans="3:16" x14ac:dyDescent="0.2">
      <c r="C79" s="219"/>
      <c r="P79" s="220"/>
    </row>
    <row r="80" spans="3:16" x14ac:dyDescent="0.2">
      <c r="C80" s="219"/>
      <c r="P80" s="220"/>
    </row>
    <row r="81" spans="3:16" x14ac:dyDescent="0.2">
      <c r="C81" s="219"/>
      <c r="P81" s="220"/>
    </row>
    <row r="82" spans="3:16" x14ac:dyDescent="0.2">
      <c r="C82" s="219"/>
      <c r="P82" s="220"/>
    </row>
    <row r="83" spans="3:16" x14ac:dyDescent="0.2">
      <c r="C83" s="219"/>
      <c r="P83" s="220"/>
    </row>
    <row r="84" spans="3:16" x14ac:dyDescent="0.2">
      <c r="C84" s="219"/>
      <c r="P84" s="220"/>
    </row>
    <row r="85" spans="3:16" x14ac:dyDescent="0.2">
      <c r="C85" s="219"/>
      <c r="P85" s="220"/>
    </row>
    <row r="86" spans="3:16" x14ac:dyDescent="0.2">
      <c r="C86" s="219"/>
      <c r="P86" s="220"/>
    </row>
    <row r="87" spans="3:16" x14ac:dyDescent="0.2">
      <c r="C87" s="219"/>
      <c r="P87" s="220"/>
    </row>
    <row r="88" spans="3:16" x14ac:dyDescent="0.2">
      <c r="C88" s="219"/>
      <c r="D88" s="52" t="s">
        <v>446</v>
      </c>
      <c r="P88" s="220"/>
    </row>
    <row r="89" spans="3:16" ht="15.75" thickBot="1" x14ac:dyDescent="0.25">
      <c r="C89" s="219"/>
      <c r="P89" s="220"/>
    </row>
    <row r="90" spans="3:16" ht="15.75" thickBot="1" x14ac:dyDescent="0.25">
      <c r="C90" s="219"/>
      <c r="D90" s="53" t="s">
        <v>447</v>
      </c>
      <c r="G90" s="232">
        <f>COUNTIF(HCT6_HL[OUTCOME],"HEARD")</f>
        <v>0</v>
      </c>
      <c r="P90" s="220"/>
    </row>
    <row r="91" spans="3:16" ht="15.75" thickBot="1" x14ac:dyDescent="0.25">
      <c r="C91" s="219"/>
      <c r="D91" s="53" t="s">
        <v>448</v>
      </c>
      <c r="P91" s="220"/>
    </row>
    <row r="92" spans="3:16" ht="15.75" thickBot="1" x14ac:dyDescent="0.25">
      <c r="C92" s="219"/>
      <c r="D92" s="53" t="s">
        <v>449</v>
      </c>
      <c r="G92" s="233">
        <f>COUNTIF(HCT6_HL[OUTCOME],"COURT NOT SITTING")</f>
        <v>0</v>
      </c>
      <c r="P92" s="220"/>
    </row>
    <row r="93" spans="3:16" ht="15.75" thickBot="1" x14ac:dyDescent="0.25">
      <c r="C93" s="219"/>
      <c r="D93" s="53" t="s">
        <v>450</v>
      </c>
      <c r="G93" s="234">
        <f>COUNTIF(HCT6_HL[OUTCOME],"PARTY NOT READY")</f>
        <v>0</v>
      </c>
      <c r="P93" s="220"/>
    </row>
    <row r="94" spans="3:16" x14ac:dyDescent="0.2">
      <c r="C94" s="219"/>
      <c r="P94" s="220"/>
    </row>
    <row r="95" spans="3:16" x14ac:dyDescent="0.2">
      <c r="C95" s="219"/>
      <c r="P95" s="220"/>
    </row>
    <row r="96" spans="3:16" x14ac:dyDescent="0.2">
      <c r="C96" s="219"/>
      <c r="D96" s="52" t="s">
        <v>451</v>
      </c>
      <c r="G96" s="235">
        <f>COUNTIF(HCT6_HL[OUTCOME],"COURT NOT SITTING")</f>
        <v>0</v>
      </c>
      <c r="P96" s="220"/>
    </row>
    <row r="97" spans="3:16" x14ac:dyDescent="0.2">
      <c r="C97" s="219"/>
      <c r="P97" s="220"/>
    </row>
    <row r="98" spans="3:16" x14ac:dyDescent="0.2">
      <c r="C98" s="219"/>
      <c r="P98" s="220"/>
    </row>
    <row r="99" spans="3:16" x14ac:dyDescent="0.2">
      <c r="C99" s="219"/>
      <c r="P99" s="220"/>
    </row>
    <row r="100" spans="3:16" x14ac:dyDescent="0.2">
      <c r="C100" s="219"/>
      <c r="P100" s="220"/>
    </row>
    <row r="101" spans="3:16" x14ac:dyDescent="0.2">
      <c r="C101" s="219"/>
      <c r="P101" s="220"/>
    </row>
    <row r="102" spans="3:16" x14ac:dyDescent="0.2">
      <c r="C102" s="219"/>
      <c r="P102" s="220"/>
    </row>
    <row r="103" spans="3:16" x14ac:dyDescent="0.2">
      <c r="C103" s="219"/>
      <c r="P103" s="220"/>
    </row>
    <row r="104" spans="3:16" ht="18.75" thickBot="1" x14ac:dyDescent="0.3">
      <c r="C104" s="219"/>
      <c r="D104" s="236" t="s">
        <v>452</v>
      </c>
      <c r="P104" s="220"/>
    </row>
    <row r="105" spans="3:16" ht="15.75" thickTop="1" x14ac:dyDescent="0.2">
      <c r="C105" s="219"/>
      <c r="P105" s="220"/>
    </row>
    <row r="106" spans="3:16" x14ac:dyDescent="0.2">
      <c r="C106" s="219"/>
      <c r="D106" s="52" t="s">
        <v>453</v>
      </c>
      <c r="P106" s="220"/>
    </row>
    <row r="107" spans="3:16" x14ac:dyDescent="0.2">
      <c r="C107" s="219"/>
      <c r="P107" s="220"/>
    </row>
    <row r="108" spans="3:16" x14ac:dyDescent="0.2">
      <c r="C108" s="219"/>
      <c r="P108" s="220"/>
    </row>
    <row r="109" spans="3:16" x14ac:dyDescent="0.2">
      <c r="C109" s="219"/>
      <c r="D109" s="52" t="s">
        <v>454</v>
      </c>
      <c r="P109" s="220"/>
    </row>
    <row r="110" spans="3:16" x14ac:dyDescent="0.2">
      <c r="C110" s="219"/>
      <c r="P110" s="220"/>
    </row>
    <row r="111" spans="3:16" x14ac:dyDescent="0.2">
      <c r="C111" s="219"/>
      <c r="P111" s="220"/>
    </row>
    <row r="112" spans="3:16" x14ac:dyDescent="0.2">
      <c r="C112" s="219"/>
      <c r="P112" s="220"/>
    </row>
    <row r="113" spans="3:16" x14ac:dyDescent="0.2">
      <c r="C113" s="219"/>
      <c r="P113" s="220"/>
    </row>
    <row r="114" spans="3:16" x14ac:dyDescent="0.2">
      <c r="C114" s="219"/>
      <c r="P114" s="220"/>
    </row>
    <row r="115" spans="3:16" x14ac:dyDescent="0.2">
      <c r="C115" s="219"/>
      <c r="P115" s="220"/>
    </row>
    <row r="116" spans="3:16" x14ac:dyDescent="0.2">
      <c r="C116" s="219"/>
      <c r="D116" s="52" t="s">
        <v>455</v>
      </c>
      <c r="P116" s="220"/>
    </row>
    <row r="117" spans="3:16" x14ac:dyDescent="0.2">
      <c r="C117" s="219"/>
      <c r="P117" s="220"/>
    </row>
    <row r="118" spans="3:16" x14ac:dyDescent="0.2">
      <c r="C118" s="219"/>
      <c r="P118" s="220"/>
    </row>
    <row r="119" spans="3:16" x14ac:dyDescent="0.2">
      <c r="C119" s="219"/>
      <c r="P119" s="220"/>
    </row>
    <row r="120" spans="3:16" x14ac:dyDescent="0.2">
      <c r="C120" s="219"/>
      <c r="P120" s="220"/>
    </row>
    <row r="121" spans="3:16" x14ac:dyDescent="0.2">
      <c r="C121" s="219"/>
      <c r="P121" s="220"/>
    </row>
    <row r="122" spans="3:16" x14ac:dyDescent="0.2">
      <c r="C122" s="219"/>
      <c r="D122" s="52" t="s">
        <v>456</v>
      </c>
      <c r="P122" s="220"/>
    </row>
    <row r="123" spans="3:16" x14ac:dyDescent="0.2">
      <c r="C123" s="219"/>
      <c r="P123" s="220"/>
    </row>
    <row r="124" spans="3:16" x14ac:dyDescent="0.2">
      <c r="C124" s="219"/>
      <c r="P124" s="220"/>
    </row>
    <row r="125" spans="3:16" x14ac:dyDescent="0.2">
      <c r="C125" s="219"/>
      <c r="P125" s="220"/>
    </row>
    <row r="126" spans="3:16" x14ac:dyDescent="0.2">
      <c r="C126" s="219"/>
      <c r="P126" s="220"/>
    </row>
    <row r="127" spans="3:16" x14ac:dyDescent="0.2">
      <c r="C127" s="219"/>
      <c r="P127" s="220"/>
    </row>
    <row r="128" spans="3:16" x14ac:dyDescent="0.2">
      <c r="C128" s="219"/>
      <c r="P128" s="220"/>
    </row>
    <row r="129" spans="3:16" x14ac:dyDescent="0.2">
      <c r="C129" s="219"/>
      <c r="P129" s="220"/>
    </row>
    <row r="130" spans="3:16" x14ac:dyDescent="0.2">
      <c r="C130" s="219"/>
      <c r="D130" s="52" t="s">
        <v>457</v>
      </c>
      <c r="P130" s="220"/>
    </row>
    <row r="131" spans="3:16" x14ac:dyDescent="0.2">
      <c r="C131" s="219"/>
      <c r="P131" s="220"/>
    </row>
    <row r="132" spans="3:16" x14ac:dyDescent="0.2">
      <c r="C132" s="219"/>
      <c r="D132" s="272" t="s">
        <v>458</v>
      </c>
      <c r="E132" s="272"/>
      <c r="F132" s="272"/>
      <c r="G132" s="272"/>
      <c r="H132" s="272"/>
      <c r="P132" s="220"/>
    </row>
    <row r="133" spans="3:16" x14ac:dyDescent="0.2">
      <c r="C133" s="219"/>
      <c r="D133" s="272" t="s">
        <v>459</v>
      </c>
      <c r="E133" s="272"/>
      <c r="F133" s="272"/>
      <c r="G133" s="272"/>
      <c r="P133" s="220"/>
    </row>
    <row r="134" spans="3:16" x14ac:dyDescent="0.2">
      <c r="C134" s="219"/>
      <c r="P134" s="220"/>
    </row>
    <row r="135" spans="3:16" x14ac:dyDescent="0.2">
      <c r="C135" s="219"/>
      <c r="D135" s="53" t="s">
        <v>460</v>
      </c>
      <c r="P135" s="220"/>
    </row>
    <row r="136" spans="3:16" x14ac:dyDescent="0.2">
      <c r="C136" s="219"/>
      <c r="P136" s="220"/>
    </row>
    <row r="137" spans="3:16" x14ac:dyDescent="0.2">
      <c r="C137" s="219"/>
      <c r="D137" s="53" t="s">
        <v>461</v>
      </c>
      <c r="P137" s="220"/>
    </row>
    <row r="138" spans="3:16" x14ac:dyDescent="0.2">
      <c r="C138" s="219"/>
      <c r="P138" s="220"/>
    </row>
    <row r="139" spans="3:16" ht="15.75" thickBot="1" x14ac:dyDescent="0.25">
      <c r="C139" s="237"/>
      <c r="D139" s="238"/>
      <c r="E139" s="238"/>
      <c r="F139" s="238"/>
      <c r="G139" s="238"/>
      <c r="H139" s="238"/>
      <c r="I139" s="238"/>
      <c r="J139" s="238"/>
      <c r="K139" s="238"/>
      <c r="L139" s="238"/>
      <c r="M139" s="238"/>
      <c r="N139" s="238"/>
      <c r="O139" s="238"/>
      <c r="P139" s="239"/>
    </row>
  </sheetData>
  <sheetProtection algorithmName="SHA-512" hashValue="AbpGYRUdbhEnm9eFxB6ZIb4Y498J78QDN5wNJ2TkeCoav0txypc9gDzQlCcFYER7/IQB8N8n6G0DXaBCdg+7fQ==" saltValue="DRpANKdYxQV8GPwXUKNx5A==" spinCount="100000" sheet="1" objects="1" scenarios="1"/>
  <mergeCells count="10">
    <mergeCell ref="D14:F14"/>
    <mergeCell ref="D25:F25"/>
    <mergeCell ref="D132:H132"/>
    <mergeCell ref="D133:G133"/>
    <mergeCell ref="D37:F37"/>
    <mergeCell ref="D27:M27"/>
    <mergeCell ref="D28:M28"/>
    <mergeCell ref="D30:L30"/>
    <mergeCell ref="D29:L29"/>
    <mergeCell ref="D32:G32"/>
  </mergeCells>
  <conditionalFormatting sqref="G35">
    <cfRule type="expression" dxfId="4" priority="23">
      <formula>COLUMN(D35)-COLUMN($C35)+1 = VALUE(RIGHT($F$20,1))</formula>
    </cfRule>
  </conditionalFormatting>
  <dataValidations count="4">
    <dataValidation type="list" allowBlank="1" showInputMessage="1" showErrorMessage="1" sqref="F16" xr:uid="{43C08C47-D3EA-4623-BF34-78C9E0AB36AC}">
      <formula1>JUDGES2</formula1>
    </dataValidation>
    <dataValidation type="list" allowBlank="1" showInputMessage="1" showErrorMessage="1" sqref="F19 J16" xr:uid="{66FC5CFC-A907-4E8E-BF7B-5E7E609F43FC}">
      <formula1>COURT</formula1>
    </dataValidation>
    <dataValidation type="list" allowBlank="1" showInputMessage="1" showErrorMessage="1" sqref="M16" xr:uid="{AC948D7F-F72A-43CA-BE1B-71FAA6C5949A}">
      <formula1>DIVISIONS</formula1>
    </dataValidation>
    <dataValidation type="list" allowBlank="1" showInputMessage="1" showErrorMessage="1" sqref="I19" xr:uid="{E09EFA9B-C479-4C72-B3AB-8D53E42A138C}">
      <formula1>QUARTER</formula1>
    </dataValidation>
  </dataValidations>
  <hyperlinks>
    <hyperlink ref="C1" location="'CASE REGISTER'!A1" display="CASE REGISTER" xr:uid="{30C19882-4501-4C6E-ADA1-2F1269A04DB1}"/>
    <hyperlink ref="D1" location="'HEARING LOG'!A1" display="HEARING LOG" xr:uid="{E2067102-BB03-4A8D-9C48-4EA0E9456B05}"/>
    <hyperlink ref="E1" location="'AUTO CAUSE LIST'!A1" display="AUTO CAUSE LIST" xr:uid="{2FEA0823-8DCC-4A40-8D4C-59CE4FE3A4D9}"/>
    <hyperlink ref="F1" location="INSIGHTS!A1" display="INSIGHTS" xr:uid="{F183FA5E-782F-406E-808E-12786E7B2656}"/>
    <hyperlink ref="G1" location="'COUNSEL DIRECTORY'!A1" tooltip="COUNSEL DIRECTORY" display="'COUNSEL DIRECTORY'!A1" xr:uid="{60BEE8A2-3E9B-42A5-8031-6005E880B9AB}"/>
    <hyperlink ref="B1" location="'HOME PAGE'!A1" tooltip="WELCOME PAGE" display="'HOME PAGE'!A1" xr:uid="{99A4FDD6-D6F9-45B1-9DA2-4440D8A83B99}"/>
  </hyperlinks>
  <pageMargins left="0.7" right="0.7" top="0.75" bottom="0.75" header="0.3" footer="0.3"/>
  <pageSetup scale="34"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630AC2E-A0F7-431B-8EDC-78C0B7FEF44B}">
          <x14:formula1>
            <xm:f>LISTS!$G$46:$G$65</xm:f>
          </x14:formula1>
          <xm:sqref>G19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2F54-31FE-4E7F-8A18-794CF942B581}">
  <dimension ref="C3:C5"/>
  <sheetViews>
    <sheetView workbookViewId="0">
      <selection activeCell="E9" sqref="E9"/>
    </sheetView>
  </sheetViews>
  <sheetFormatPr defaultRowHeight="15" x14ac:dyDescent="0.2"/>
  <sheetData>
    <row r="3" spans="3:3" x14ac:dyDescent="0.2">
      <c r="C3" t="s">
        <v>352</v>
      </c>
    </row>
    <row r="5" spans="3:3" x14ac:dyDescent="0.2">
      <c r="C5" t="e" cm="1">
        <f t="array" ref="C5">_xlfn._xlws.FILTER(HCT6_CR[],_xlfn.CHOOSECOLS(HCT6_CR[],3,4,5,6,7,8),"NO COUNSEL LISTED")</f>
        <v>#VALUE!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ABEC7-1EE9-4E92-99DD-1118AE1EAD54}">
  <sheetPr>
    <tabColor theme="5" tint="0.39997558519241921"/>
    <pageSetUpPr fitToPage="1"/>
  </sheetPr>
  <dimension ref="A1:J43"/>
  <sheetViews>
    <sheetView showGridLines="0" showRowColHeaders="0" zoomScaleNormal="100" workbookViewId="0">
      <pane ySplit="10" topLeftCell="A11" activePane="bottomLeft" state="frozen"/>
      <selection activeCell="F18" sqref="F18"/>
      <selection pane="bottomLeft" activeCell="F1" sqref="F1"/>
    </sheetView>
  </sheetViews>
  <sheetFormatPr defaultColWidth="9.14453125" defaultRowHeight="15" x14ac:dyDescent="0.2"/>
  <cols>
    <col min="1" max="1" width="9.14453125" style="53"/>
    <col min="2" max="2" width="0" style="53" hidden="1" customWidth="1"/>
    <col min="3" max="3" width="10.0859375" style="85" bestFit="1" customWidth="1"/>
    <col min="4" max="4" width="25.55859375" style="85" bestFit="1" customWidth="1"/>
    <col min="5" max="5" width="23.80859375" style="60" bestFit="1" customWidth="1"/>
    <col min="6" max="6" width="45.73828125" style="60" bestFit="1" customWidth="1"/>
    <col min="7" max="7" width="34.03125" style="53" customWidth="1"/>
    <col min="8" max="8" width="36.453125" style="53" customWidth="1"/>
    <col min="9" max="9" width="18.96484375" style="53" bestFit="1" customWidth="1"/>
    <col min="10" max="10" width="29.86328125" style="56" hidden="1" customWidth="1"/>
    <col min="11" max="16384" width="9.14453125" style="53"/>
  </cols>
  <sheetData>
    <row r="1" spans="1:10" ht="15.75" thickBot="1" x14ac:dyDescent="0.25">
      <c r="A1" s="52"/>
      <c r="B1" s="52"/>
      <c r="C1" s="52" t="str">
        <f>_xlfn.UNICHAR(127968) &amp; " HOME"</f>
        <v>🏠 HOME</v>
      </c>
      <c r="D1" s="52" t="str">
        <f>_xlfn.UNICHAR(128257) &amp; "  UPDATE CASE REGISTER"</f>
        <v>🔁  UPDATE CASE REGISTER</v>
      </c>
      <c r="E1" s="52" t="str">
        <f>_xlfn.UNICHAR(128209) &amp; " HEARING LOG"</f>
        <v>📑 HEARING LOG</v>
      </c>
      <c r="F1" s="52" t="str">
        <f>_xlfn.UNICHAR(8505) &amp; " INSIGHTS"</f>
        <v>ℹ INSIGHTS</v>
      </c>
      <c r="G1" s="113" t="str">
        <f>_xlfn.UNICHAR(128100)&amp; "  COUNSEL DIRECTORY"</f>
        <v>👤  COUNSEL DIRECTORY</v>
      </c>
      <c r="H1" s="216" t="str">
        <f>_xlfn.UNICHAR(9997) &amp;"   QUARTERLY REPORTS"</f>
        <v>✍   QUARTERLY REPORTS</v>
      </c>
    </row>
    <row r="2" spans="1:10" ht="15.75" thickBot="1" x14ac:dyDescent="0.25">
      <c r="J2" s="94" t="str" cm="1">
        <f t="array" ref="J2">IFERROR(_xlfn._xlws.SORT(_xlfn._xlws.FILTER(HCT6_HL[NEXT DATE],HCT6_HL[NEXT DATE]&lt;&gt;"")),"")</f>
        <v/>
      </c>
    </row>
    <row r="3" spans="1:10" x14ac:dyDescent="0.2">
      <c r="C3" s="86"/>
      <c r="D3" s="53"/>
      <c r="E3" s="53"/>
      <c r="F3" s="53"/>
    </row>
    <row r="4" spans="1:10" ht="24" thickBot="1" x14ac:dyDescent="0.35">
      <c r="A4" s="54"/>
      <c r="B4" s="67"/>
      <c r="C4" s="86"/>
      <c r="D4" s="53"/>
      <c r="E4" s="87" t="s">
        <v>241</v>
      </c>
      <c r="F4" s="87"/>
      <c r="H4" s="16" t="str">
        <f>_xlfn.UNICHAR(128424)&amp;"     CTRL+P TO PRINT"</f>
        <v>🖨     CTRL+P TO PRINT</v>
      </c>
    </row>
    <row r="5" spans="1:10" ht="24" thickTop="1" x14ac:dyDescent="0.3">
      <c r="A5" s="69"/>
      <c r="C5" s="86"/>
      <c r="D5" s="53"/>
      <c r="E5" s="87" t="s">
        <v>242</v>
      </c>
      <c r="F5" s="87"/>
      <c r="H5" s="106"/>
    </row>
    <row r="6" spans="1:10" ht="23.25" x14ac:dyDescent="0.3">
      <c r="A6" s="72"/>
      <c r="C6" s="86"/>
      <c r="D6" s="53"/>
      <c r="E6" s="87" t="s">
        <v>339</v>
      </c>
      <c r="F6" s="87"/>
    </row>
    <row r="7" spans="1:10" ht="19.5" thickBot="1" x14ac:dyDescent="0.3">
      <c r="A7" s="71"/>
      <c r="C7" s="86"/>
      <c r="D7" s="53"/>
      <c r="E7" s="59"/>
      <c r="F7" s="59"/>
    </row>
    <row r="8" spans="1:10" ht="21" thickBot="1" x14ac:dyDescent="0.3">
      <c r="A8" s="74"/>
      <c r="C8" s="86"/>
      <c r="D8" s="53"/>
      <c r="E8" s="88" t="s">
        <v>243</v>
      </c>
      <c r="F8" s="103" t="s">
        <v>400</v>
      </c>
    </row>
    <row r="9" spans="1:10" x14ac:dyDescent="0.2">
      <c r="A9" s="54"/>
      <c r="B9" s="55"/>
      <c r="C9" s="86"/>
      <c r="D9" s="53"/>
      <c r="E9" s="53"/>
      <c r="F9" s="53"/>
      <c r="H9" s="89"/>
      <c r="I9" s="89"/>
    </row>
    <row r="10" spans="1:10" ht="23.25" x14ac:dyDescent="0.3">
      <c r="A10" s="69"/>
      <c r="C10" s="90" t="s">
        <v>0</v>
      </c>
      <c r="D10" s="91" t="s">
        <v>1</v>
      </c>
      <c r="E10" s="91" t="s">
        <v>2</v>
      </c>
      <c r="F10" s="91" t="s">
        <v>14</v>
      </c>
      <c r="G10" s="92" t="s">
        <v>3</v>
      </c>
      <c r="H10" s="92" t="s">
        <v>4</v>
      </c>
      <c r="I10" s="92" t="s">
        <v>5</v>
      </c>
    </row>
    <row r="11" spans="1:10" ht="18.75" x14ac:dyDescent="0.25">
      <c r="A11" s="72"/>
      <c r="C11" s="126">
        <f>IF(D11="","",COUNTA($D$11:D11))</f>
        <v>1</v>
      </c>
      <c r="D11" s="127" cm="1">
        <f t="array" ref="D11:H17">IFERROR(_xlfn._xlws.SORT(_xlfn._xlws.FILTER(_xlfn.CHOOSECOLS(HCT6_HL[],2,3,9,4,5),HCT6_HL[NEXT DATE]=F8),1,1),"")</f>
        <v>0</v>
      </c>
      <c r="E11" s="129" t="str">
        <v/>
      </c>
      <c r="F11" s="129">
        <v>0</v>
      </c>
      <c r="G11" s="130" t="str">
        <v/>
      </c>
      <c r="H11" s="130" t="str">
        <v/>
      </c>
      <c r="I11" s="131"/>
    </row>
    <row r="12" spans="1:10" ht="18.75" x14ac:dyDescent="0.25">
      <c r="A12" s="71"/>
      <c r="C12">
        <f>IF(D12="","",COUNTA($D$11:D12))</f>
        <v>2</v>
      </c>
      <c r="D12" s="128">
        <v>0</v>
      </c>
      <c r="E12" s="132" t="str">
        <v/>
      </c>
      <c r="F12" s="132">
        <v>0</v>
      </c>
      <c r="G12" s="128" t="str">
        <v/>
      </c>
      <c r="H12" s="128" t="str">
        <v/>
      </c>
      <c r="I12" s="58"/>
    </row>
    <row r="13" spans="1:10" x14ac:dyDescent="0.2">
      <c r="A13" s="74"/>
      <c r="C13">
        <f>IF(D13="","",COUNTA($D$11:D13))</f>
        <v>3</v>
      </c>
      <c r="D13">
        <v>0</v>
      </c>
      <c r="E13" t="str">
        <v/>
      </c>
      <c r="F13">
        <v>0</v>
      </c>
      <c r="G13" t="str">
        <v/>
      </c>
      <c r="H13" t="str">
        <v/>
      </c>
      <c r="I13"/>
    </row>
    <row r="14" spans="1:10" x14ac:dyDescent="0.2">
      <c r="A14" s="54"/>
      <c r="C14">
        <f>IF(D14="","",COUNTA($D$11:D14))</f>
        <v>4</v>
      </c>
      <c r="D14">
        <v>0</v>
      </c>
      <c r="E14" t="str">
        <v/>
      </c>
      <c r="F14">
        <v>0</v>
      </c>
      <c r="G14" t="str">
        <v/>
      </c>
      <c r="H14" t="str">
        <v/>
      </c>
      <c r="I14"/>
    </row>
    <row r="15" spans="1:10" x14ac:dyDescent="0.2">
      <c r="A15" s="69"/>
      <c r="C15">
        <f>IF(D15="","",COUNTA($D$11:D15))</f>
        <v>5</v>
      </c>
      <c r="D15">
        <v>0</v>
      </c>
      <c r="E15" t="str">
        <v/>
      </c>
      <c r="F15">
        <v>0</v>
      </c>
      <c r="G15" t="str">
        <v/>
      </c>
      <c r="H15" t="str">
        <v/>
      </c>
      <c r="I15"/>
    </row>
    <row r="16" spans="1:10" x14ac:dyDescent="0.2">
      <c r="A16" s="72"/>
      <c r="C16">
        <f>IF(D16="","",COUNTA($D$11:D16))</f>
        <v>6</v>
      </c>
      <c r="D16">
        <v>0</v>
      </c>
      <c r="E16" t="str">
        <v/>
      </c>
      <c r="F16">
        <v>0</v>
      </c>
      <c r="G16" t="str">
        <v/>
      </c>
      <c r="H16" t="str">
        <v/>
      </c>
      <c r="I16"/>
    </row>
    <row r="17" spans="1:9" x14ac:dyDescent="0.2">
      <c r="A17" s="71"/>
      <c r="C17">
        <f>IF(D17="","",COUNTA($D$11:D17))</f>
        <v>7</v>
      </c>
      <c r="D17">
        <v>0</v>
      </c>
      <c r="E17" t="str">
        <v/>
      </c>
      <c r="F17">
        <v>0</v>
      </c>
      <c r="G17" t="str">
        <v/>
      </c>
      <c r="H17" t="str">
        <v/>
      </c>
      <c r="I17"/>
    </row>
    <row r="18" spans="1:9" x14ac:dyDescent="0.2">
      <c r="A18" s="74"/>
      <c r="C18" t="str">
        <f>IF(D18="","",COUNTA($D$11:D18))</f>
        <v/>
      </c>
      <c r="D18"/>
      <c r="E18"/>
      <c r="F18"/>
      <c r="G18"/>
      <c r="H18"/>
      <c r="I18"/>
    </row>
    <row r="19" spans="1:9" x14ac:dyDescent="0.2">
      <c r="A19" s="54"/>
      <c r="C19" t="str">
        <f>IF(D19="","",COUNTA($D$11:D19))</f>
        <v/>
      </c>
      <c r="D19"/>
      <c r="E19"/>
      <c r="F19"/>
      <c r="G19"/>
      <c r="H19"/>
      <c r="I19"/>
    </row>
    <row r="20" spans="1:9" ht="18.75" x14ac:dyDescent="0.25">
      <c r="A20" s="69"/>
      <c r="C20" t="str">
        <f>IF(D20="","",COUNTA($D$11:D20))</f>
        <v/>
      </c>
      <c r="D20" s="58"/>
      <c r="E20" s="58"/>
      <c r="F20" s="58"/>
      <c r="G20" s="58"/>
      <c r="H20" s="58"/>
      <c r="I20" s="58"/>
    </row>
    <row r="21" spans="1:9" ht="18.75" x14ac:dyDescent="0.25">
      <c r="A21" s="72"/>
      <c r="C21" s="104"/>
      <c r="D21" s="104"/>
      <c r="E21" s="105"/>
      <c r="F21" s="105"/>
      <c r="G21" s="58"/>
      <c r="H21" s="58"/>
      <c r="I21" s="58"/>
    </row>
    <row r="22" spans="1:9" ht="18.75" x14ac:dyDescent="0.25">
      <c r="A22" s="71"/>
      <c r="C22" s="104"/>
      <c r="D22" s="104"/>
      <c r="E22" s="105"/>
      <c r="F22" s="105"/>
      <c r="G22" s="58"/>
      <c r="H22" s="58"/>
      <c r="I22" s="58"/>
    </row>
    <row r="23" spans="1:9" ht="18.75" x14ac:dyDescent="0.25">
      <c r="A23" s="74"/>
      <c r="C23" s="104"/>
      <c r="D23" s="104"/>
      <c r="E23" s="105"/>
      <c r="F23" s="105"/>
      <c r="G23" s="58"/>
      <c r="H23" s="58"/>
      <c r="I23" s="58"/>
    </row>
    <row r="24" spans="1:9" ht="18.75" x14ac:dyDescent="0.25">
      <c r="A24" s="54"/>
      <c r="C24" s="104"/>
      <c r="D24" s="104"/>
      <c r="E24" s="105"/>
      <c r="F24" s="105"/>
      <c r="G24" s="58"/>
      <c r="H24" s="58"/>
      <c r="I24" s="58"/>
    </row>
    <row r="25" spans="1:9" ht="18.75" x14ac:dyDescent="0.25">
      <c r="A25" s="69"/>
      <c r="C25" s="104"/>
      <c r="D25" s="104"/>
      <c r="E25" s="105"/>
      <c r="F25" s="105"/>
      <c r="G25" s="58"/>
      <c r="H25" s="58"/>
      <c r="I25" s="58"/>
    </row>
    <row r="26" spans="1:9" ht="18.75" x14ac:dyDescent="0.25">
      <c r="A26" s="72"/>
      <c r="C26" s="104"/>
      <c r="D26" s="104"/>
      <c r="E26" s="105"/>
      <c r="F26" s="105"/>
      <c r="G26" s="58"/>
      <c r="H26" s="58"/>
      <c r="I26" s="58"/>
    </row>
    <row r="27" spans="1:9" ht="18.75" x14ac:dyDescent="0.25">
      <c r="A27" s="71"/>
      <c r="C27" s="104"/>
      <c r="D27" s="104"/>
      <c r="E27" s="105"/>
      <c r="F27" s="105"/>
      <c r="G27" s="58"/>
      <c r="H27" s="58"/>
      <c r="I27" s="58"/>
    </row>
    <row r="28" spans="1:9" x14ac:dyDescent="0.2">
      <c r="A28" s="74"/>
    </row>
    <row r="29" spans="1:9" x14ac:dyDescent="0.2">
      <c r="A29" s="54"/>
    </row>
    <row r="30" spans="1:9" x14ac:dyDescent="0.2">
      <c r="A30" s="69"/>
    </row>
    <row r="31" spans="1:9" x14ac:dyDescent="0.2">
      <c r="A31" s="72"/>
    </row>
    <row r="32" spans="1:9" x14ac:dyDescent="0.2">
      <c r="A32" s="71"/>
    </row>
    <row r="33" spans="1:1" x14ac:dyDescent="0.2">
      <c r="A33" s="74"/>
    </row>
    <row r="34" spans="1:1" x14ac:dyDescent="0.2">
      <c r="A34" s="54"/>
    </row>
    <row r="35" spans="1:1" x14ac:dyDescent="0.2">
      <c r="A35" s="69"/>
    </row>
    <row r="36" spans="1:1" x14ac:dyDescent="0.2">
      <c r="A36" s="72"/>
    </row>
    <row r="37" spans="1:1" x14ac:dyDescent="0.2">
      <c r="A37" s="71"/>
    </row>
    <row r="38" spans="1:1" x14ac:dyDescent="0.2">
      <c r="A38" s="74"/>
    </row>
    <row r="39" spans="1:1" x14ac:dyDescent="0.2">
      <c r="A39" s="54"/>
    </row>
    <row r="40" spans="1:1" x14ac:dyDescent="0.2">
      <c r="A40" s="69"/>
    </row>
    <row r="41" spans="1:1" x14ac:dyDescent="0.2">
      <c r="A41" s="72"/>
    </row>
    <row r="42" spans="1:1" x14ac:dyDescent="0.2">
      <c r="A42" s="71"/>
    </row>
    <row r="43" spans="1:1" x14ac:dyDescent="0.2">
      <c r="A43" s="74"/>
    </row>
  </sheetData>
  <sheetProtection algorithmName="SHA-512" hashValue="GpSZIZCOxvbcJLvuPmveMLg7LD6W7Yzr5AGiFhDfg+lC/U4vDX5yZfs2cBm1NAOL5f/bVSvDfDRYgOtjY6Uhyw==" saltValue="6ybSkRBkfZLXX7q0lJ4cFA==" spinCount="100000" sheet="1" objects="1" scenarios="1"/>
  <dataValidations count="1">
    <dataValidation type="list" allowBlank="1" showInputMessage="1" showErrorMessage="1" prompt="SELECT A DATE FROM THE LIST" sqref="F8" xr:uid="{A61E1E9D-D076-4F3E-8073-78AC787ADC6C}">
      <formula1>_xlfn.ANCHORARRAY(J2)</formula1>
    </dataValidation>
  </dataValidations>
  <hyperlinks>
    <hyperlink ref="D1" location="'CASE REGISTER'!A1" display="CASE REGISTER" xr:uid="{65122203-E928-4853-8A8E-60BE7D925F94}"/>
    <hyperlink ref="E1" location="'HEARING LOG'!A1" display="HEARING LOG" xr:uid="{A5318252-47E1-484F-BE32-D5864C5E272D}"/>
    <hyperlink ref="F1" location="INSIGHTS!A1" display="INSIGHTS" xr:uid="{65894267-5F17-451A-94CE-29FA0A55B5C8}"/>
    <hyperlink ref="C1" location="'HOME PAGE'!A1" display="HOME" xr:uid="{84716609-87DF-47DA-9B5F-5AE5345CBBED}"/>
    <hyperlink ref="G1" location="'COUNSEL DIRECTORY'!A1" tooltip="COUNSEL DIRECTORY" display="'COUNSEL DIRECTORY'!A1" xr:uid="{903A2418-9C2D-4FFE-8DB8-CF8DB7574598}"/>
    <hyperlink ref="H1" location="'QUARTER REPORT'!A1" tooltip="QUARTERLY REPORTS" display="'QUARTER REPORT'!A1" xr:uid="{DF46A6C9-8CDB-40AD-A9C3-3501FB2FFC1C}"/>
  </hyperlinks>
  <printOptions gridLines="1"/>
  <pageMargins left="0.70866141732283472" right="0.70866141732283472" top="0.74803149606299213" bottom="0.74803149606299213" header="0.31496062992125984" footer="0.31496062992125984"/>
  <pageSetup scale="5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A3174-FE22-47C6-A22A-81D921655140}">
  <sheetPr>
    <tabColor theme="0" tint="-0.499984740745262"/>
    <pageSetUpPr fitToPage="1"/>
  </sheetPr>
  <dimension ref="A1:V219"/>
  <sheetViews>
    <sheetView showGridLines="0" showRowColHeaders="0" topLeftCell="B1" zoomScale="77" zoomScaleNormal="77" workbookViewId="0">
      <pane ySplit="14" topLeftCell="B15" activePane="bottomLeft" state="frozen"/>
      <selection activeCell="F18" sqref="F18"/>
      <selection pane="bottomLeft" activeCell="B1" sqref="B1"/>
    </sheetView>
  </sheetViews>
  <sheetFormatPr defaultColWidth="9.14453125" defaultRowHeight="15" x14ac:dyDescent="0.2"/>
  <cols>
    <col min="1" max="1" width="52.328125" style="121" customWidth="1"/>
    <col min="2" max="2" width="98.46875" style="121" bestFit="1" customWidth="1"/>
    <col min="3" max="3" width="47.08203125" style="121" bestFit="1" customWidth="1"/>
    <col min="4" max="4" width="29.32421875" style="121" bestFit="1" customWidth="1"/>
    <col min="5" max="5" width="46.54296875" style="121" bestFit="1" customWidth="1"/>
    <col min="6" max="6" width="40.0859375" style="121" bestFit="1" customWidth="1"/>
    <col min="7" max="7" width="44.12109375" style="121" bestFit="1" customWidth="1"/>
    <col min="8" max="8" width="34.83984375" style="121" bestFit="1" customWidth="1"/>
    <col min="9" max="9" width="47.484375" style="121" bestFit="1" customWidth="1"/>
    <col min="10" max="10" width="66.05078125" style="121" customWidth="1"/>
    <col min="11" max="11" width="35.109375" style="121" bestFit="1" customWidth="1"/>
    <col min="12" max="12" width="48.6953125" style="121" bestFit="1" customWidth="1"/>
    <col min="13" max="13" width="39.68359375" style="121" bestFit="1" customWidth="1"/>
    <col min="14" max="14" width="26.23046875" style="121" bestFit="1" customWidth="1"/>
    <col min="15" max="15" width="28.11328125" style="121" bestFit="1" customWidth="1"/>
    <col min="16" max="16" width="9.14453125" style="121"/>
    <col min="17" max="17" width="48.42578125" style="121" bestFit="1" customWidth="1"/>
    <col min="18" max="18" width="47.484375" style="121" bestFit="1" customWidth="1"/>
    <col min="19" max="19" width="75.33203125" style="121" customWidth="1"/>
    <col min="20" max="20" width="25.69140625" style="121" customWidth="1"/>
    <col min="21" max="21" width="33.08984375" style="121" bestFit="1" customWidth="1"/>
    <col min="22" max="22" width="43.44921875" style="121" customWidth="1"/>
    <col min="23" max="16384" width="9.14453125" style="121"/>
  </cols>
  <sheetData>
    <row r="1" spans="1:8" x14ac:dyDescent="0.2">
      <c r="B1" s="52" t="str">
        <f>_xlfn.UNICHAR(127968)&amp;"   HOME"</f>
        <v>🏠   HOME</v>
      </c>
      <c r="C1" s="122" t="str">
        <f>_xlfn.UNICHAR(128257) &amp; " UPDATE CASE REGISTER"</f>
        <v>🔁 UPDATE CASE REGISTER</v>
      </c>
      <c r="D1" s="122" t="str">
        <f>_xlfn.UNICHAR(128209) &amp;" HEARING LOG"</f>
        <v>📑 HEARING LOG</v>
      </c>
      <c r="E1" s="122" t="str">
        <f>_xlfn.UNICHAR(128196) &amp; " AUTO CAUSE LIST"</f>
        <v>📄 AUTO CAUSE LIST</v>
      </c>
      <c r="F1" s="133" t="str">
        <f>_xlfn.UNICHAR(128100)&amp; "  COUNSEL DIRECTORY"</f>
        <v>👤  COUNSEL DIRECTORY</v>
      </c>
      <c r="G1" s="214" t="str">
        <f>_xlfn.UNICHAR(9997) &amp; "     QUARTERLY REPORTS"</f>
        <v>✍     QUARTERLY REPORTS</v>
      </c>
    </row>
    <row r="3" spans="1:8" x14ac:dyDescent="0.2">
      <c r="B3" s="134"/>
    </row>
    <row r="4" spans="1:8" x14ac:dyDescent="0.2">
      <c r="C4" s="121" cm="1">
        <f t="array" aca="1" ref="C4" ca="1">SUMPRODUCT((HCT6_CR[STATUS]="ACTIVE")*SUBTOTAL(103,OFFSET(HCT6_CR[STATUS],ROW(HCT6_CR[STATUS])-MIN(ROW(HCT6_CR[STATUS])),0)))</f>
        <v>0</v>
      </c>
    </row>
    <row r="6" spans="1:8" x14ac:dyDescent="0.2">
      <c r="B6" s="135"/>
    </row>
    <row r="7" spans="1:8" x14ac:dyDescent="0.2">
      <c r="B7" s="136" t="s">
        <v>362</v>
      </c>
    </row>
    <row r="8" spans="1:8" x14ac:dyDescent="0.2">
      <c r="C8" s="84"/>
    </row>
    <row r="14" spans="1:8" ht="20.25" thickBot="1" x14ac:dyDescent="0.3">
      <c r="B14" s="137" t="s">
        <v>333</v>
      </c>
      <c r="C14" s="137"/>
      <c r="D14" s="137"/>
      <c r="H14" s="215">
        <f ca="1">TODAY()</f>
        <v>46235</v>
      </c>
    </row>
    <row r="15" spans="1:8" ht="19.5" thickTop="1" x14ac:dyDescent="0.25">
      <c r="A15" s="142"/>
      <c r="B15" s="136"/>
      <c r="C15" s="136"/>
      <c r="D15" s="136"/>
      <c r="H15" s="138"/>
    </row>
    <row r="16" spans="1:8" ht="18.75" x14ac:dyDescent="0.25">
      <c r="A16" s="139"/>
      <c r="B16" s="275" t="str">
        <f>"QUARTERLY OVERVIEW FOR NUMBER OF CASES ASSIGNED IN   "&amp;$D$21   &amp; " - " &amp;$F$21</f>
        <v>QUARTERLY OVERVIEW FOR NUMBER OF CASES ASSIGNED IN   2024 - Q1</v>
      </c>
      <c r="C16" s="275"/>
      <c r="D16" s="136"/>
      <c r="H16" s="138"/>
    </row>
    <row r="17" spans="1:21" ht="18.75" x14ac:dyDescent="0.25">
      <c r="A17" s="155"/>
      <c r="B17" s="136"/>
      <c r="C17" s="136"/>
      <c r="D17" s="136"/>
      <c r="H17" s="138"/>
    </row>
    <row r="18" spans="1:21" x14ac:dyDescent="0.2">
      <c r="A18" s="140"/>
    </row>
    <row r="19" spans="1:21" ht="19.5" thickBot="1" x14ac:dyDescent="0.3">
      <c r="A19" s="147"/>
      <c r="J19" s="143" t="s">
        <v>386</v>
      </c>
      <c r="Q19" s="144" t="s">
        <v>392</v>
      </c>
      <c r="R19" s="145"/>
      <c r="S19" s="145"/>
      <c r="T19" s="145"/>
      <c r="U19" s="145"/>
    </row>
    <row r="20" spans="1:21" ht="20.25" thickTop="1" thickBot="1" x14ac:dyDescent="0.3">
      <c r="A20" s="141"/>
      <c r="Q20" s="145"/>
      <c r="R20" s="145"/>
      <c r="S20" s="145"/>
      <c r="T20" s="145"/>
      <c r="U20" s="145"/>
    </row>
    <row r="21" spans="1:21" ht="21.75" thickBot="1" x14ac:dyDescent="0.35">
      <c r="A21" s="268"/>
      <c r="C21" s="146" t="s">
        <v>330</v>
      </c>
      <c r="D21" s="61">
        <v>2024</v>
      </c>
      <c r="E21" s="146" t="s">
        <v>331</v>
      </c>
      <c r="F21" s="61" t="s">
        <v>264</v>
      </c>
      <c r="J21" s="121" t="s">
        <v>384</v>
      </c>
      <c r="K21" s="121" t="s">
        <v>245</v>
      </c>
      <c r="L21" s="121" t="s">
        <v>385</v>
      </c>
      <c r="Q21" s="143" t="s">
        <v>9</v>
      </c>
      <c r="R21" s="143" t="s">
        <v>393</v>
      </c>
      <c r="S21" s="143" t="s">
        <v>245</v>
      </c>
      <c r="T21" s="143" t="s">
        <v>394</v>
      </c>
      <c r="U21" s="145"/>
    </row>
    <row r="22" spans="1:21" ht="22.5" thickTop="1" thickBot="1" x14ac:dyDescent="0.35">
      <c r="A22" s="269"/>
      <c r="B22" s="124" t="s">
        <v>9</v>
      </c>
      <c r="C22" s="148" t="s">
        <v>264</v>
      </c>
      <c r="D22" s="148" t="s">
        <v>265</v>
      </c>
      <c r="E22" s="148" t="s">
        <v>266</v>
      </c>
      <c r="F22" s="148" t="s">
        <v>267</v>
      </c>
      <c r="G22" s="124" t="str">
        <f>"TOTALS FOR YEAR             "&amp;D21</f>
        <v>TOTALS FOR YEAR             2024</v>
      </c>
      <c r="H22" s="136"/>
      <c r="J22" s="149" t="s">
        <v>387</v>
      </c>
      <c r="K22" s="149">
        <f ca="1">COUNTIFS(HCT6_CR[CURRENT AGE OF CASE],"&gt;=0",HCT6_CR[CURRENT AGE OF CASE],"&lt;=3")</f>
        <v>0</v>
      </c>
      <c r="L22" s="150">
        <f ca="1">IFERROR(K22/COUNTIFS(HCT6_CR[STATUS],"ACTIVE"),0)</f>
        <v>0</v>
      </c>
      <c r="Q22" s="151" cm="1">
        <f t="array" aca="1" ref="Q22:R22" ca="1">IFERROR(_xlfn.GROUPBY(HCT6_CR[CASE TYPE],HCT6_CR[CURRENT AGE OF CASE],_xleta.AVERAGE,0,0),"NO RECORDS")</f>
        <v>0</v>
      </c>
      <c r="R22" s="152" t="str">
        <f ca="1"/>
        <v>NO RECORDS</v>
      </c>
      <c r="S22" s="153">
        <f ca="1">IFERROR(COUNTIF(HCT6_CR[CASE TYPE],Q22),"")</f>
        <v>0</v>
      </c>
      <c r="T22" s="154" t="str">
        <f ca="1">_xlfn.IFNA(_xlfn.XLOOKUP(Q22,HCT6_CR[CASE TYPE],HCT6_CR[AGE DISPLAY]),"NO RECORDS")</f>
        <v>NO RECORDS</v>
      </c>
      <c r="U22" s="145"/>
    </row>
    <row r="23" spans="1:21" ht="21.75" thickTop="1" x14ac:dyDescent="0.3">
      <c r="A23" s="142"/>
      <c r="B23" s="146" t="s">
        <v>224</v>
      </c>
      <c r="C23" s="95" cm="1">
        <f t="array" ref="C23">IFERROR(SUMPRODUCT((HCT6_CR[CASE TYPE]=$B23)*
(YEAR(HCT6_CR[DATE ASSIGNED])=$D$21)*
(ROUNDUP(MONTH(HCT6_CR[DATE ASSIGNED])/3,0)=COLUMN(B21))),"NO CASE ASSIGNED")</f>
        <v>0</v>
      </c>
      <c r="D23" s="149" cm="1">
        <f t="array" ref="D23">IFERROR(SUMPRODUCT((HCT6_CR[CASE TYPE]=$B23)*
(YEAR(HCT6_CR[DATE ASSIGNED])=$D$21)*
(ROUNDUP(MONTH(HCT6_CR[DATE ASSIGNED])/3,0)=COLUMN(C21))),"NO CASE ASSIGNED")</f>
        <v>0</v>
      </c>
      <c r="E23" s="149" cm="1">
        <f t="array" ref="E23">IFERROR(SUMPRODUCT((HCT6_CR[CASE TYPE]=$B23)*
(YEAR(HCT6_CR[DATE ASSIGNED])=$D$21)*
(ROUNDUP(MONTH(HCT6_CR[DATE ASSIGNED])/3,0)=COLUMN(D21))),"NO CASE ASSIGNED")</f>
        <v>0</v>
      </c>
      <c r="F23" s="149" cm="1">
        <f t="array" ref="F23">IFERROR(SUMPRODUCT((HCT6_CR[CASE TYPE]=$B23)*
(YEAR(HCT6_CR[DATE ASSIGNED])=$D$21)*
(ROUNDUP(MONTH(HCT6_CR[DATE ASSIGNED])/3,0)=COLUMN(E21))),"NO CASE ASSIGNED")</f>
        <v>0</v>
      </c>
      <c r="G23" s="156">
        <f>SUM(C23:F23)</f>
        <v>0</v>
      </c>
      <c r="J23" s="149" t="s">
        <v>388</v>
      </c>
      <c r="K23" s="149">
        <f ca="1">COUNTIFS(HCT6_CR[CURRENT AGE OF CASE],"&gt;=4",HCT6_CR[CURRENT AGE OF CASE],"&lt;=6")</f>
        <v>0</v>
      </c>
      <c r="L23" s="150">
        <f ca="1">IFERROR(K23/COUNTIFS(HCT6_CR[STATUS],"ACTIVE"),0)</f>
        <v>0</v>
      </c>
      <c r="Q23" s="157"/>
      <c r="R23" s="158"/>
      <c r="S23" s="159">
        <f>IFERROR(COUNTIF(HCT6_CR[CASE TYPE],Q23),"")</f>
        <v>0</v>
      </c>
      <c r="T23" s="160" t="str">
        <f ca="1">_xlfn.XLOOKUP(Q23,HCT6_CR[CASE TYPE],HCT6_CR[AGE DISPLAY])</f>
        <v/>
      </c>
    </row>
    <row r="24" spans="1:21" ht="21" x14ac:dyDescent="0.3">
      <c r="A24" s="142"/>
      <c r="B24" s="146" t="s">
        <v>307</v>
      </c>
      <c r="C24" s="149" cm="1">
        <f t="array" ref="C24">IFERROR(SUMPRODUCT((HCT6_CR[CASE TYPE]=$B24)*
(YEAR(HCT6_CR[DATE ASSIGNED])=$D$21)*
(ROUNDUP(MONTH(HCT6_CR[DATE ASSIGNED])/3,0)=COLUMN(B22))),"NO CASE ASSIGNED")</f>
        <v>0</v>
      </c>
      <c r="D24" s="149" cm="1">
        <f t="array" ref="D24">IFERROR(SUMPRODUCT((HCT6_CR[CASE TYPE]=$B24)*
(YEAR(HCT6_CR[DATE ASSIGNED])=$D$21)*
(ROUNDUP(MONTH(HCT6_CR[DATE ASSIGNED])/3,0)=COLUMN(C22))),"NO CASE ASSIGNED")</f>
        <v>0</v>
      </c>
      <c r="E24" s="149" cm="1">
        <f t="array" ref="E24">IFERROR(SUMPRODUCT((HCT6_CR[CASE TYPE]=$B24)*
(YEAR(HCT6_CR[DATE ASSIGNED])=$D$21)*
(ROUNDUP(MONTH(HCT6_CR[DATE ASSIGNED])/3,0)=COLUMN(D22))),"NO CASE ASSIGNED")</f>
        <v>0</v>
      </c>
      <c r="F24" s="149" cm="1">
        <f t="array" ref="F24">IFERROR(SUMPRODUCT((HCT6_CR[CASE TYPE]=$B24)*
(YEAR(HCT6_CR[DATE ASSIGNED])=$D$21)*
(ROUNDUP(MONTH(HCT6_CR[DATE ASSIGNED])/3,0)=COLUMN(E22))),"NO CASE ASSIGNED")</f>
        <v>0</v>
      </c>
      <c r="G24" s="161">
        <f t="shared" ref="G24:G29" si="0">SUM(C24:F24)</f>
        <v>0</v>
      </c>
      <c r="J24" s="149" t="s">
        <v>389</v>
      </c>
      <c r="K24" s="149">
        <f ca="1">COUNTIFS(HCT6_CR[CURRENT AGE OF CASE],"&gt;=7")</f>
        <v>0</v>
      </c>
      <c r="L24" s="150">
        <f ca="1">IFERROR(K24/COUNTIFS(HCT6_CR[STATUS],"ACTIVE"),0)</f>
        <v>0</v>
      </c>
      <c r="Q24" s="157"/>
      <c r="R24" s="158"/>
      <c r="S24" s="159">
        <f>IFERROR(COUNTIF(HCT6_CR[CASE TYPE],Q24),"")</f>
        <v>0</v>
      </c>
      <c r="T24" s="160" t="str">
        <f ca="1">_xlfn.XLOOKUP(Q24,HCT6_CR[CASE TYPE],HCT6_CR[AGE DISPLAY])</f>
        <v/>
      </c>
    </row>
    <row r="25" spans="1:21" ht="21" x14ac:dyDescent="0.3">
      <c r="A25" s="139"/>
      <c r="B25" s="146" t="s">
        <v>32</v>
      </c>
      <c r="C25" s="149" cm="1">
        <f t="array" ref="C25">IFERROR(SUMPRODUCT((HCT6_CR[CASE TYPE]=$B25)*
(YEAR(HCT6_CR[DATE ASSIGNED])=$D$21)*
(ROUNDUP(MONTH(HCT6_CR[DATE ASSIGNED])/3,0)=COLUMN(B23))),"NO CASE ASSIGNED")</f>
        <v>0</v>
      </c>
      <c r="D25" s="149" cm="1">
        <f t="array" ref="D25">IFERROR(SUMPRODUCT((HCT6_CR[CASE TYPE]=$B25)*
(YEAR(HCT6_CR[DATE ASSIGNED])=$D$21)*
(ROUNDUP(MONTH(HCT6_CR[DATE ASSIGNED])/3,0)=COLUMN(C23))),"NO CASE ASSIGNED")</f>
        <v>0</v>
      </c>
      <c r="E25" s="149" cm="1">
        <f t="array" ref="E25">IFERROR(SUMPRODUCT((HCT6_CR[CASE TYPE]=$B25)*
(YEAR(HCT6_CR[DATE ASSIGNED])=$D$21)*
(ROUNDUP(MONTH(HCT6_CR[DATE ASSIGNED])/3,0)=COLUMN(D23))),"NO CASE ASSIGNED")</f>
        <v>0</v>
      </c>
      <c r="F25" s="149" cm="1">
        <f t="array" ref="F25">IFERROR(SUMPRODUCT((HCT6_CR[CASE TYPE]=$B25)*
(YEAR(HCT6_CR[DATE ASSIGNED])=$D$21)*
(ROUNDUP(MONTH(HCT6_CR[DATE ASSIGNED])/3,0)=COLUMN(E23))),"NO CASE ASSIGNED")</f>
        <v>0</v>
      </c>
      <c r="G25" s="161">
        <f t="shared" si="0"/>
        <v>0</v>
      </c>
      <c r="M25" s="162"/>
      <c r="Q25" s="157"/>
      <c r="R25" s="158"/>
      <c r="S25" s="159">
        <f>IFERROR(COUNTIF(HCT6_CR[CASE TYPE],Q25),"")</f>
        <v>0</v>
      </c>
      <c r="T25" s="160" t="str">
        <f ca="1">_xlfn.XLOOKUP(Q25,HCT6_CR[CASE TYPE],HCT6_CR[AGE DISPLAY])</f>
        <v/>
      </c>
    </row>
    <row r="26" spans="1:21" ht="19.5" thickBot="1" x14ac:dyDescent="0.3">
      <c r="A26" s="155"/>
      <c r="B26" s="146" t="s">
        <v>52</v>
      </c>
      <c r="C26" s="149" cm="1">
        <f t="array" ref="C26">IFERROR(SUMPRODUCT((HCT6_CR[CASE TYPE]=$B26)*
(YEAR(HCT6_CR[DATE ASSIGNED])=$D$21)*
(ROUNDUP(MONTH(HCT6_CR[DATE ASSIGNED])/3,0)=COLUMN(B24))),"NO CASE ASSIGNED")</f>
        <v>0</v>
      </c>
      <c r="D26" s="149" cm="1">
        <f t="array" ref="D26">IFERROR(SUMPRODUCT((HCT6_CR[CASE TYPE]=$B26)*
(YEAR(HCT6_CR[DATE ASSIGNED])=$D$21)*
(ROUNDUP(MONTH(HCT6_CR[DATE ASSIGNED])/3,0)=COLUMN(C24))),"NO CASE ASSIGNED")</f>
        <v>0</v>
      </c>
      <c r="E26" s="149" cm="1">
        <f t="array" ref="E26">IFERROR(SUMPRODUCT((HCT6_CR[CASE TYPE]=$B26)*
(YEAR(HCT6_CR[DATE ASSIGNED])=$D$21)*
(ROUNDUP(MONTH(HCT6_CR[DATE ASSIGNED])/3,0)=COLUMN(D24))),"NO CASE ASSIGNED")</f>
        <v>0</v>
      </c>
      <c r="F26" s="149" cm="1">
        <f t="array" ref="F26">IFERROR(SUMPRODUCT((HCT6_CR[CASE TYPE]=$B26)*
(YEAR(HCT6_CR[DATE ASSIGNED])=$D$21)*
(ROUNDUP(MONTH(HCT6_CR[DATE ASSIGNED])/3,0)=COLUMN(E24))),"NO CASE ASSIGNED")</f>
        <v>0</v>
      </c>
      <c r="G26" s="161">
        <f t="shared" si="0"/>
        <v>0</v>
      </c>
      <c r="J26" s="124" t="s">
        <v>361</v>
      </c>
      <c r="K26" s="96" t="s">
        <v>346</v>
      </c>
      <c r="Q26" s="163"/>
      <c r="R26" s="163"/>
      <c r="S26" s="159">
        <f>IFERROR(COUNTIF(HCT6_CR[CASE TYPE],Q26),"")</f>
        <v>0</v>
      </c>
      <c r="T26" s="164"/>
    </row>
    <row r="27" spans="1:21" ht="20.25" thickTop="1" thickBot="1" x14ac:dyDescent="0.3">
      <c r="A27" s="140"/>
      <c r="B27" s="146" t="s">
        <v>28</v>
      </c>
      <c r="C27" s="149" cm="1">
        <f t="array" ref="C27">IFERROR(SUMPRODUCT((HCT6_CR[CASE TYPE]=$B27)*
(YEAR(HCT6_CR[DATE ASSIGNED])=$D$21)*
(ROUNDUP(MONTH(HCT6_CR[DATE ASSIGNED])/3,0)=COLUMN(B25))),"NO CASE ASSIGNED")</f>
        <v>0</v>
      </c>
      <c r="D27" s="149" cm="1">
        <f t="array" ref="D27">IFERROR(SUMPRODUCT((HCT6_CR[CASE TYPE]=$B27)*
(YEAR(HCT6_CR[DATE ASSIGNED])=$D$21)*
(ROUNDUP(MONTH(HCT6_CR[DATE ASSIGNED])/3,0)=COLUMN(C25))),"NO CASE ASSIGNED")</f>
        <v>0</v>
      </c>
      <c r="E27" s="149" cm="1">
        <f t="array" ref="E27">IFERROR(SUMPRODUCT((HCT6_CR[CASE TYPE]=$B27)*
(YEAR(HCT6_CR[DATE ASSIGNED])=$D$21)*
(ROUNDUP(MONTH(HCT6_CR[DATE ASSIGNED])/3,0)=COLUMN(D25))),"NO CASE ASSIGNED")</f>
        <v>0</v>
      </c>
      <c r="F27" s="149" cm="1">
        <f t="array" ref="F27">IFERROR(SUMPRODUCT((HCT6_CR[CASE TYPE]=$B27)*
(YEAR(HCT6_CR[DATE ASSIGNED])=$D$21)*
(ROUNDUP(MONTH(HCT6_CR[DATE ASSIGNED])/3,0)=COLUMN(E25))),"NO CASE ASSIGNED")</f>
        <v>0</v>
      </c>
      <c r="G27" s="161">
        <f t="shared" si="0"/>
        <v>0</v>
      </c>
      <c r="J27" s="124" t="s">
        <v>8</v>
      </c>
      <c r="K27" s="124" t="s">
        <v>2</v>
      </c>
      <c r="L27" s="124" t="s">
        <v>349</v>
      </c>
      <c r="M27" s="124" t="s">
        <v>14</v>
      </c>
      <c r="N27" s="124" t="s">
        <v>351</v>
      </c>
      <c r="O27" s="143" t="s">
        <v>391</v>
      </c>
      <c r="Q27" s="163"/>
      <c r="R27" s="163"/>
      <c r="S27" s="159">
        <f>IFERROR(COUNTIF(HCT6_CR[CASE TYPE],Q27),"")</f>
        <v>0</v>
      </c>
      <c r="T27" s="164"/>
    </row>
    <row r="28" spans="1:21" ht="19.5" thickTop="1" x14ac:dyDescent="0.25">
      <c r="A28" s="147"/>
      <c r="B28" s="146" t="s">
        <v>231</v>
      </c>
      <c r="C28" s="149" cm="1">
        <f t="array" ref="C28">IFERROR(SUMPRODUCT((HCT6_CR[CASE TYPE]=$B28)*
(YEAR(HCT6_CR[DATE ASSIGNED])=$D$21)*
(ROUNDUP(MONTH(HCT6_CR[DATE ASSIGNED])/3,0)=COLUMN(B26))),"NO CASE ASSIGNED")</f>
        <v>0</v>
      </c>
      <c r="D28" s="149" cm="1">
        <f t="array" ref="D28">IFERROR(SUMPRODUCT((HCT6_CR[CASE TYPE]=$B28)*
(YEAR(HCT6_CR[DATE ASSIGNED])=$D$21)*
(ROUNDUP(MONTH(HCT6_CR[DATE ASSIGNED])/3,0)=COLUMN(C26))),"NO CASE ASSIGNED")</f>
        <v>0</v>
      </c>
      <c r="E28" s="149" cm="1">
        <f t="array" ref="E28">IFERROR(SUMPRODUCT((HCT6_CR[CASE TYPE]=$B28)*
(YEAR(HCT6_CR[DATE ASSIGNED])=$D$21)*
(ROUNDUP(MONTH(HCT6_CR[DATE ASSIGNED])/3,0)=COLUMN(D26))),"NO CASE ASSIGNED")</f>
        <v>0</v>
      </c>
      <c r="F28" s="149" cm="1">
        <f t="array" ref="F28">IFERROR(SUMPRODUCT((HCT6_CR[CASE TYPE]=$B28)*
(YEAR(HCT6_CR[DATE ASSIGNED])=$D$21)*
(ROUNDUP(MONTH(HCT6_CR[DATE ASSIGNED])/3,0)=COLUMN(E26))),"NO CASE ASSIGNED")</f>
        <v>0</v>
      </c>
      <c r="G28" s="161">
        <f t="shared" si="0"/>
        <v>0</v>
      </c>
      <c r="J28" s="149" t="str" cm="1">
        <f t="array" aca="1" ref="J28" ca="1">IFERROR(_xlfn._xlws.FILTER(
_xlfn.CHOOSECOLS(HCT6_CR[],2,3,6,17,16,19),
(
(K26="0 - 3 YEARS")*(HCT6_CR[CURRENT AGE OF CASE]&gt;=0)*(HCT6_CR[CURRENT AGE OF CASE]&lt;=3.9)
)+
(
   (K26="4 - 6 YEARS")*(HCT6_CR[CURRENT AGE OF CASE]&gt;=4)*(HCT6_CR[CURRENT AGE OF CASE]&lt;=6.9)
)+
(
   (K26="ABOVE 7 YEARS")*(HCT6_CR[CURRENT AGE OF CASE]&gt;7)
),
"NO CASES WITHIN THIS AGE BRACKET"
)," ")</f>
        <v>NO CASES WITHIN THIS AGE BRACKET</v>
      </c>
      <c r="K28" s="149"/>
      <c r="L28" s="149"/>
      <c r="M28" s="149"/>
      <c r="N28" s="149"/>
      <c r="O28" s="149"/>
      <c r="Q28" s="165"/>
      <c r="R28" s="165"/>
      <c r="S28" s="166">
        <f>IFERROR(COUNTIF(HCT6_CR[CASE TYPE],Q28),"")</f>
        <v>0</v>
      </c>
      <c r="T28" s="167"/>
    </row>
    <row r="29" spans="1:21" ht="18.75" x14ac:dyDescent="0.25">
      <c r="A29" s="141"/>
      <c r="B29" s="146" t="s">
        <v>317</v>
      </c>
      <c r="C29" s="149" cm="1">
        <f t="array" ref="C29">IFERROR(SUMPRODUCT((HCT6_CR[CASE TYPE]=$B29)*
(YEAR(HCT6_CR[DATE ASSIGNED])=$D$21)*
(ROUNDUP(MONTH(HCT6_CR[DATE ASSIGNED])/3,0)=COLUMN(B27))),"NO CASE ASSIGNED")</f>
        <v>0</v>
      </c>
      <c r="D29" s="149" cm="1">
        <f t="array" ref="D29">IFERROR(SUMPRODUCT((HCT6_CR[CASE TYPE]=$B29)*
(YEAR(HCT6_CR[DATE ASSIGNED])=$D$21)*
(ROUNDUP(MONTH(HCT6_CR[DATE ASSIGNED])/3,0)=COLUMN(C27))),"NO CASE ASSIGNED")</f>
        <v>0</v>
      </c>
      <c r="E29" s="149" cm="1">
        <f t="array" ref="E29">IFERROR(SUMPRODUCT((HCT6_CR[CASE TYPE]=$B29)*
(YEAR(HCT6_CR[DATE ASSIGNED])=$D$21)*
(ROUNDUP(MONTH(HCT6_CR[DATE ASSIGNED])/3,0)=COLUMN(D27))),"NO CASE ASSIGNED")</f>
        <v>0</v>
      </c>
      <c r="F29" s="149" cm="1">
        <f t="array" ref="F29">IFERROR(SUMPRODUCT((HCT6_CR[CASE TYPE]=$B29)*
(YEAR(HCT6_CR[DATE ASSIGNED])=$D$21)*
(ROUNDUP(MONTH(HCT6_CR[DATE ASSIGNED])/3,0)=COLUMN(E27))),"NO CASE ASSIGNED")</f>
        <v>0</v>
      </c>
      <c r="G29" s="161">
        <f t="shared" si="0"/>
        <v>0</v>
      </c>
      <c r="T29" s="122"/>
    </row>
    <row r="30" spans="1:21" ht="20.25" thickBot="1" x14ac:dyDescent="0.3">
      <c r="A30" s="268"/>
      <c r="B30" s="137" t="s">
        <v>332</v>
      </c>
      <c r="C30" s="168">
        <f>SUM(C23:C29)</f>
        <v>0</v>
      </c>
      <c r="D30" s="168">
        <f t="shared" ref="D30:G30" si="1">SUM(D23:D29)</f>
        <v>0</v>
      </c>
      <c r="E30" s="168">
        <f t="shared" si="1"/>
        <v>0</v>
      </c>
      <c r="F30" s="168">
        <f t="shared" si="1"/>
        <v>0</v>
      </c>
      <c r="G30" s="169">
        <f t="shared" si="1"/>
        <v>0</v>
      </c>
      <c r="T30" s="122"/>
    </row>
    <row r="31" spans="1:21" ht="19.5" thickTop="1" thickBot="1" x14ac:dyDescent="0.3">
      <c r="A31" s="269"/>
      <c r="Q31" s="170" t="s">
        <v>398</v>
      </c>
    </row>
    <row r="32" spans="1:21" ht="15.75" thickBot="1" x14ac:dyDescent="0.25">
      <c r="A32" s="142"/>
      <c r="B32" s="171"/>
      <c r="C32" s="171"/>
      <c r="D32" s="171"/>
      <c r="E32" s="171"/>
      <c r="F32" s="171"/>
      <c r="G32" s="171"/>
      <c r="H32" s="171"/>
      <c r="Q32" s="172">
        <f>_xlfn.MAXIFS(HCT6_CR[CURRENT AGE OF CASE],HCT6_CR[STATUS],"ACTIVE")</f>
        <v>0</v>
      </c>
    </row>
    <row r="33" spans="1:20" x14ac:dyDescent="0.2">
      <c r="A33" s="142"/>
    </row>
    <row r="34" spans="1:20" ht="18.75" thickBot="1" x14ac:dyDescent="0.3">
      <c r="A34" s="269"/>
      <c r="B34" s="275" t="str">
        <f>"QUARTERLY OVERVIEW FOR TYPES OF CASES CONCLUDED    "&amp;$D$21   &amp; " - " &amp;$F$21</f>
        <v>QUARTERLY OVERVIEW FOR TYPES OF CASES CONCLUDED    2024 - Q1</v>
      </c>
      <c r="C34" s="275"/>
      <c r="D34" s="275"/>
      <c r="Q34" s="143" t="s">
        <v>8</v>
      </c>
      <c r="R34" s="143" t="s">
        <v>2</v>
      </c>
      <c r="S34" s="143" t="s">
        <v>9</v>
      </c>
      <c r="T34" s="143" t="s">
        <v>399</v>
      </c>
    </row>
    <row r="35" spans="1:20" ht="15.75" thickTop="1" x14ac:dyDescent="0.2">
      <c r="A35" s="268"/>
      <c r="B35" s="136"/>
      <c r="C35" s="136"/>
      <c r="D35" s="136"/>
      <c r="Q35" s="121" t="str" cm="1">
        <f t="array" aca="1" ref="Q35" ca="1">_xlfn.IFNA(_xlfn.XLOOKUP(Q32,HCT6_CR[CURRENT AGE OF CASE],_xlfn.CHOOSECOLS(HCT6_CR[],2,3,4)),"NO RECORDS")</f>
        <v>NO RECORDS</v>
      </c>
    </row>
    <row r="36" spans="1:20" x14ac:dyDescent="0.2">
      <c r="A36" s="141"/>
      <c r="B36" s="136"/>
      <c r="C36" s="136"/>
      <c r="D36" s="136"/>
    </row>
    <row r="37" spans="1:20" x14ac:dyDescent="0.2">
      <c r="A37" s="147"/>
      <c r="B37" s="136"/>
      <c r="C37" s="136"/>
      <c r="D37" s="136"/>
    </row>
    <row r="38" spans="1:20" ht="15.75" thickBot="1" x14ac:dyDescent="0.25">
      <c r="A38" s="140"/>
    </row>
    <row r="39" spans="1:20" ht="21.75" thickBot="1" x14ac:dyDescent="0.35">
      <c r="A39" s="155"/>
      <c r="C39" s="146" t="s">
        <v>330</v>
      </c>
      <c r="D39" s="61">
        <v>2018</v>
      </c>
      <c r="E39" s="146" t="s">
        <v>331</v>
      </c>
      <c r="F39" s="61" t="s">
        <v>264</v>
      </c>
    </row>
    <row r="40" spans="1:20" ht="18.75" thickBot="1" x14ac:dyDescent="0.3">
      <c r="A40" s="139"/>
      <c r="B40" s="124" t="s">
        <v>9</v>
      </c>
      <c r="C40" s="148" t="s">
        <v>264</v>
      </c>
      <c r="D40" s="148" t="s">
        <v>265</v>
      </c>
      <c r="E40" s="148" t="s">
        <v>266</v>
      </c>
      <c r="F40" s="148" t="s">
        <v>267</v>
      </c>
      <c r="G40" s="124" t="str">
        <f>"TOTAL FOR YEAR          "&amp;D39</f>
        <v>TOTAL FOR YEAR          2018</v>
      </c>
      <c r="H40" s="136"/>
    </row>
    <row r="41" spans="1:20" ht="19.5" thickTop="1" x14ac:dyDescent="0.25">
      <c r="B41" s="146" t="s">
        <v>224</v>
      </c>
      <c r="C41" s="149" cm="1">
        <f t="array" ref="C41">SUMPRODUCT((HCT6_CR[CASE TYPE]=$B41)*
(YEAR(HCT6_CR[DATE CONCLUDED])=$D$39)*
(ROUNDUP(MONTH(HCT6_CR[DATE CONCLUDED])/3,0)=COLUMN(B39)))</f>
        <v>0</v>
      </c>
      <c r="D41" s="149" cm="1">
        <f t="array" ref="D41">SUMPRODUCT((HCT6_CR[CASE TYPE]=$B41)*
(YEAR(HCT6_CR[DATE CONCLUDED])=$D$39)*
(ROUNDUP(MONTH(HCT6_CR[DATE CONCLUDED])/3,0)=COLUMN(C39)))</f>
        <v>0</v>
      </c>
      <c r="E41" s="149" cm="1">
        <f t="array" ref="E41">SUMPRODUCT((HCT6_CR[CASE TYPE]=$B41)*
(YEAR(HCT6_CR[DATE CONCLUDED])=$D$39)*
(ROUNDUP(MONTH(HCT6_CR[DATE CONCLUDED])/3,0)=COLUMN(D39)))</f>
        <v>0</v>
      </c>
      <c r="F41" s="149" cm="1">
        <f t="array" ref="F41">SUMPRODUCT((HCT6_CR[CASE TYPE]=$B41)*
(YEAR(HCT6_CR[DATE CONCLUDED])=$D$39)*
(ROUNDUP(MONTH(HCT6_CR[DATE CONCLUDED])/3,0)=COLUMN(E39)))</f>
        <v>0</v>
      </c>
      <c r="G41" s="156">
        <f>SUM(C41:F41)</f>
        <v>0</v>
      </c>
    </row>
    <row r="42" spans="1:20" ht="18.75" x14ac:dyDescent="0.25">
      <c r="A42" s="139"/>
      <c r="B42" s="146" t="s">
        <v>307</v>
      </c>
      <c r="C42" s="149" cm="1">
        <f t="array" ref="C42">SUMPRODUCT((HCT6_CR[CASE TYPE]=$B42)*
(YEAR(HCT6_CR[DATE CONCLUDED])=$D$39)*
(ROUNDUP(MONTH(HCT6_CR[DATE CONCLUDED])/3,0)=COLUMN(B40)))</f>
        <v>0</v>
      </c>
      <c r="D42" s="149" cm="1">
        <f t="array" ref="D42">SUMPRODUCT((HCT6_CR[CASE TYPE]=$B42)*
(YEAR(HCT6_CR[DATE CONCLUDED])=$D$39)*
(ROUNDUP(MONTH(HCT6_CR[DATE CONCLUDED])/3,0)=COLUMN(C40)))</f>
        <v>0</v>
      </c>
      <c r="E42" s="149" cm="1">
        <f t="array" ref="E42">SUMPRODUCT((HCT6_CR[CASE TYPE]=$B42)*
(YEAR(HCT6_CR[DATE CONCLUDED])=$D$39)*
(ROUNDUP(MONTH(HCT6_CR[DATE CONCLUDED])/3,0)=COLUMN(D40)))</f>
        <v>0</v>
      </c>
      <c r="F42" s="149" cm="1">
        <f t="array" ref="F42">SUMPRODUCT((HCT6_CR[CASE TYPE]=$B42)*
(YEAR(HCT6_CR[DATE CONCLUDED])=$D$39)*
(ROUNDUP(MONTH(HCT6_CR[DATE CONCLUDED])/3,0)=COLUMN(E40)))</f>
        <v>0</v>
      </c>
      <c r="G42" s="161">
        <f t="shared" ref="G42:G47" si="2">SUM(C42:F42)</f>
        <v>0</v>
      </c>
    </row>
    <row r="43" spans="1:20" ht="18.75" x14ac:dyDescent="0.25">
      <c r="A43" s="155"/>
      <c r="B43" s="146" t="s">
        <v>32</v>
      </c>
      <c r="C43" s="149" cm="1">
        <f t="array" ref="C43">SUMPRODUCT((HCT6_CR[CASE TYPE]=$B43)*
(YEAR(HCT6_CR[DATE CONCLUDED])=$D$39)*
(ROUNDUP(MONTH(HCT6_CR[DATE CONCLUDED])/3,0)=COLUMN(B41)))</f>
        <v>0</v>
      </c>
      <c r="D43" s="149" cm="1">
        <f t="array" ref="D43">SUMPRODUCT((HCT6_CR[CASE TYPE]=$B43)*
(YEAR(HCT6_CR[DATE CONCLUDED])=$D$39)*
(ROUNDUP(MONTH(HCT6_CR[DATE CONCLUDED])/3,0)=COLUMN(C41)))</f>
        <v>0</v>
      </c>
      <c r="E43" s="149" cm="1">
        <f t="array" ref="E43">SUMPRODUCT((HCT6_CR[CASE TYPE]=$B43)*
(YEAR(HCT6_CR[DATE CONCLUDED])=$D$39)*
(ROUNDUP(MONTH(HCT6_CR[DATE CONCLUDED])/3,0)=COLUMN(D41)))</f>
        <v>0</v>
      </c>
      <c r="F43" s="149" cm="1">
        <f t="array" ref="F43">SUMPRODUCT((HCT6_CR[CASE TYPE]=$B43)*
(YEAR(HCT6_CR[DATE CONCLUDED])=$D$39)*
(ROUNDUP(MONTH(HCT6_CR[DATE CONCLUDED])/3,0)=COLUMN(E41)))</f>
        <v>0</v>
      </c>
      <c r="G43" s="161">
        <f t="shared" si="2"/>
        <v>0</v>
      </c>
    </row>
    <row r="44" spans="1:20" ht="18.75" x14ac:dyDescent="0.25">
      <c r="A44" s="140"/>
      <c r="B44" s="146" t="s">
        <v>52</v>
      </c>
      <c r="C44" s="149" cm="1">
        <f t="array" ref="C44">SUMPRODUCT((HCT6_CR[CASE TYPE]=$B44)*
(YEAR(HCT6_CR[DATE CONCLUDED])=$D$39)*
(ROUNDUP(MONTH(HCT6_CR[DATE CONCLUDED])/3,0)=COLUMN(B42)))</f>
        <v>0</v>
      </c>
      <c r="D44" s="149" cm="1">
        <f t="array" ref="D44">SUMPRODUCT((HCT6_CR[CASE TYPE]=$B44)*
(YEAR(HCT6_CR[DATE CONCLUDED])=$D$39)*
(ROUNDUP(MONTH(HCT6_CR[DATE CONCLUDED])/3,0)=COLUMN(C42)))</f>
        <v>0</v>
      </c>
      <c r="E44" s="149" cm="1">
        <f t="array" ref="E44">SUMPRODUCT((HCT6_CR[CASE TYPE]=$B44)*
(YEAR(HCT6_CR[DATE CONCLUDED])=$D$39)*
(ROUNDUP(MONTH(HCT6_CR[DATE CONCLUDED])/3,0)=COLUMN(D42)))</f>
        <v>0</v>
      </c>
      <c r="F44" s="149" cm="1">
        <f t="array" ref="F44">SUMPRODUCT((HCT6_CR[CASE TYPE]=$B44)*
(YEAR(HCT6_CR[DATE CONCLUDED])=$D$39)*
(ROUNDUP(MONTH(HCT6_CR[DATE CONCLUDED])/3,0)=COLUMN(E42)))</f>
        <v>0</v>
      </c>
      <c r="G44" s="161">
        <f t="shared" si="2"/>
        <v>0</v>
      </c>
    </row>
    <row r="45" spans="1:20" ht="18.75" x14ac:dyDescent="0.25">
      <c r="A45" s="147"/>
      <c r="B45" s="146" t="s">
        <v>28</v>
      </c>
      <c r="C45" s="149" cm="1">
        <f t="array" ref="C45">SUMPRODUCT((HCT6_CR[CASE TYPE]=$B45)*
(YEAR(HCT6_CR[DATE CONCLUDED])=$D$39)*
(ROUNDUP(MONTH(HCT6_CR[DATE CONCLUDED])/3,0)=COLUMN(B43)))</f>
        <v>0</v>
      </c>
      <c r="D45" s="149" cm="1">
        <f t="array" ref="D45">SUMPRODUCT((HCT6_CR[CASE TYPE]=$B45)*
(YEAR(HCT6_CR[DATE CONCLUDED])=$D$39)*
(ROUNDUP(MONTH(HCT6_CR[DATE CONCLUDED])/3,0)=COLUMN(C43)))</f>
        <v>0</v>
      </c>
      <c r="E45" s="149" cm="1">
        <f t="array" ref="E45">SUMPRODUCT((HCT6_CR[CASE TYPE]=$B45)*
(YEAR(HCT6_CR[DATE CONCLUDED])=$D$39)*
(ROUNDUP(MONTH(HCT6_CR[DATE CONCLUDED])/3,0)=COLUMN(D43)))</f>
        <v>0</v>
      </c>
      <c r="F45" s="149" cm="1">
        <f t="array" ref="F45">SUMPRODUCT((HCT6_CR[CASE TYPE]=$B45)*
(YEAR(HCT6_CR[DATE CONCLUDED])=$D$39)*
(ROUNDUP(MONTH(HCT6_CR[DATE CONCLUDED])/3,0)=COLUMN(E43)))</f>
        <v>0</v>
      </c>
      <c r="G45" s="161">
        <f t="shared" si="2"/>
        <v>0</v>
      </c>
    </row>
    <row r="46" spans="1:20" ht="18.75" x14ac:dyDescent="0.25">
      <c r="A46" s="141"/>
      <c r="B46" s="146" t="s">
        <v>231</v>
      </c>
      <c r="C46" s="149" cm="1">
        <f t="array" ref="C46">SUMPRODUCT((HCT6_CR[CASE TYPE]=$B46)*
(YEAR(HCT6_CR[DATE CONCLUDED])=$D$39)*
(ROUNDUP(MONTH(HCT6_CR[DATE CONCLUDED])/3,0)=COLUMN(B44)))</f>
        <v>0</v>
      </c>
      <c r="D46" s="149" cm="1">
        <f t="array" ref="D46">SUMPRODUCT((HCT6_CR[CASE TYPE]=$B46)*
(YEAR(HCT6_CR[DATE CONCLUDED])=$D$39)*
(ROUNDUP(MONTH(HCT6_CR[DATE CONCLUDED])/3,0)=COLUMN(C44)))</f>
        <v>0</v>
      </c>
      <c r="E46" s="149" cm="1">
        <f t="array" ref="E46">SUMPRODUCT((HCT6_CR[CASE TYPE]=$B46)*
(YEAR(HCT6_CR[DATE CONCLUDED])=$D$39)*
(ROUNDUP(MONTH(HCT6_CR[DATE CONCLUDED])/3,0)=COLUMN(D44)))</f>
        <v>0</v>
      </c>
      <c r="F46" s="149" cm="1">
        <f t="array" ref="F46">SUMPRODUCT((HCT6_CR[CASE TYPE]=$B46)*
(YEAR(HCT6_CR[DATE CONCLUDED])=$D$39)*
(ROUNDUP(MONTH(HCT6_CR[DATE CONCLUDED])/3,0)=COLUMN(E44)))</f>
        <v>0</v>
      </c>
      <c r="G46" s="161">
        <f t="shared" si="2"/>
        <v>0</v>
      </c>
    </row>
    <row r="47" spans="1:20" ht="18.75" x14ac:dyDescent="0.25">
      <c r="A47" s="268"/>
      <c r="B47" s="146" t="s">
        <v>317</v>
      </c>
      <c r="C47" s="149" cm="1">
        <f t="array" ref="C47">SUMPRODUCT((HCT6_CR[CASE TYPE]=$B47)*
(YEAR(HCT6_CR[DATE CONCLUDED])=$D$39)*
(ROUNDUP(MONTH(HCT6_CR[DATE CONCLUDED])/3,0)=COLUMN(B45)))</f>
        <v>0</v>
      </c>
      <c r="D47" s="149" cm="1">
        <f t="array" ref="D47">SUMPRODUCT((HCT6_CR[CASE TYPE]=$B47)*
(YEAR(HCT6_CR[DATE CONCLUDED])=$D$39)*
(ROUNDUP(MONTH(HCT6_CR[DATE CONCLUDED])/3,0)=COLUMN(C45)))</f>
        <v>0</v>
      </c>
      <c r="E47" s="149" cm="1">
        <f t="array" ref="E47">SUMPRODUCT((HCT6_CR[CASE TYPE]=$B47)*
(YEAR(HCT6_CR[DATE CONCLUDED])=$D$39)*
(ROUNDUP(MONTH(HCT6_CR[DATE CONCLUDED])/3,0)=COLUMN(D45)))</f>
        <v>0</v>
      </c>
      <c r="F47" s="149" cm="1">
        <f t="array" ref="F47">SUMPRODUCT((HCT6_CR[CASE TYPE]=$B47)*
(YEAR(HCT6_CR[DATE CONCLUDED])=$D$39)*
(ROUNDUP(MONTH(HCT6_CR[DATE CONCLUDED])/3,0)=COLUMN(E45)))</f>
        <v>0</v>
      </c>
      <c r="G47" s="161">
        <f t="shared" si="2"/>
        <v>0</v>
      </c>
    </row>
    <row r="48" spans="1:20" ht="20.25" thickBot="1" x14ac:dyDescent="0.3">
      <c r="A48" s="269"/>
      <c r="B48" s="173" t="s">
        <v>332</v>
      </c>
      <c r="C48" s="168">
        <f>SUM(C41:C47)</f>
        <v>0</v>
      </c>
      <c r="D48" s="168">
        <f t="shared" ref="D48" si="3">SUM(D41:D47)</f>
        <v>0</v>
      </c>
      <c r="E48" s="168">
        <f t="shared" ref="E48" si="4">SUM(E41:E47)</f>
        <v>0</v>
      </c>
      <c r="F48" s="137">
        <f t="shared" ref="F48" si="5">SUM(F41:F47)</f>
        <v>0</v>
      </c>
      <c r="G48" s="169">
        <f t="shared" ref="G48" si="6">SUM(G41:G47)</f>
        <v>0</v>
      </c>
    </row>
    <row r="49" spans="1:8" ht="15.75" thickTop="1" x14ac:dyDescent="0.2">
      <c r="A49" s="142"/>
    </row>
    <row r="50" spans="1:8" x14ac:dyDescent="0.2">
      <c r="B50" s="171"/>
      <c r="C50" s="171"/>
      <c r="D50" s="171"/>
      <c r="E50" s="171"/>
      <c r="F50" s="171"/>
      <c r="G50" s="171"/>
      <c r="H50" s="171"/>
    </row>
    <row r="51" spans="1:8" x14ac:dyDescent="0.2">
      <c r="A51" s="139"/>
    </row>
    <row r="52" spans="1:8" ht="21.75" customHeight="1" thickBot="1" x14ac:dyDescent="0.3">
      <c r="A52" s="155"/>
      <c r="B52" s="274" t="str">
        <f>"QUARTERLY OVERVIEW OF CASE PROGRESSION FOR    "&amp;$D$57 &amp;" - "&amp;$F$57</f>
        <v>QUARTERLY OVERVIEW OF CASE PROGRESSION FOR    2018 - Q1</v>
      </c>
      <c r="C52" s="274"/>
    </row>
    <row r="53" spans="1:8" ht="21.75" customHeight="1" thickTop="1" x14ac:dyDescent="0.2">
      <c r="A53" s="140"/>
      <c r="B53" s="174" t="s">
        <v>370</v>
      </c>
      <c r="C53" s="136"/>
    </row>
    <row r="54" spans="1:8" ht="21.75" customHeight="1" x14ac:dyDescent="0.2">
      <c r="A54" s="147"/>
      <c r="B54" s="136" t="s">
        <v>383</v>
      </c>
      <c r="C54" s="136"/>
    </row>
    <row r="55" spans="1:8" ht="21.75" customHeight="1" x14ac:dyDescent="0.2">
      <c r="A55" s="141"/>
      <c r="C55" s="136"/>
    </row>
    <row r="56" spans="1:8" ht="21.75" customHeight="1" thickBot="1" x14ac:dyDescent="0.25">
      <c r="A56" s="268"/>
      <c r="B56" s="136"/>
      <c r="C56" s="136"/>
    </row>
    <row r="57" spans="1:8" ht="21.75" thickBot="1" x14ac:dyDescent="0.35">
      <c r="A57" s="269"/>
      <c r="C57" s="146" t="s">
        <v>330</v>
      </c>
      <c r="D57" s="61">
        <v>2018</v>
      </c>
      <c r="E57" s="146" t="s">
        <v>331</v>
      </c>
      <c r="F57" s="61" t="s">
        <v>264</v>
      </c>
    </row>
    <row r="58" spans="1:8" ht="18.75" thickBot="1" x14ac:dyDescent="0.3">
      <c r="A58" s="142"/>
      <c r="B58" s="124" t="s">
        <v>14</v>
      </c>
      <c r="C58" s="124" t="s">
        <v>264</v>
      </c>
      <c r="D58" s="124" t="s">
        <v>265</v>
      </c>
      <c r="E58" s="124" t="s">
        <v>266</v>
      </c>
      <c r="F58" s="124" t="s">
        <v>267</v>
      </c>
      <c r="G58" s="124" t="str">
        <f>"TOTAL FOR YEAR                  " &amp;$D57</f>
        <v>TOTAL FOR YEAR                  2018</v>
      </c>
      <c r="H58" s="136"/>
    </row>
    <row r="59" spans="1:8" ht="19.5" thickTop="1" x14ac:dyDescent="0.25">
      <c r="A59" s="142"/>
      <c r="B59" s="146" t="s">
        <v>378</v>
      </c>
      <c r="C59" s="149" cm="1">
        <f t="array" ref="C59">SUMPRODUCT((HCT6_HL[PURPOSE]=$B59)*
(YEAR(HCT6_HL[HEARING DATE])=$D$57)*
(ROUNDUP(MONTH(HCT6_HL[HEARING DATE])/3,0)=COLUMN(B57)))</f>
        <v>0</v>
      </c>
      <c r="D59" s="149" cm="1">
        <f t="array" ref="D59">SUMPRODUCT((HCT6_HL[PURPOSE]=$B59)*
(YEAR(HCT6_HL[HEARING DATE])=$D$57)*
(ROUNDUP(MONTH(HCT6_HL[HEARING DATE])/3,0)=COLUMN(C57)))</f>
        <v>0</v>
      </c>
      <c r="E59" s="149" cm="1">
        <f t="array" ref="E59">SUMPRODUCT((HCT6_HL[PURPOSE]=$B59)*
(YEAR(HCT6_HL[HEARING DATE])=$D$57)*
(ROUNDUP(MONTH(HCT6_HL[HEARING DATE])/3,0)=COLUMN(D57)))</f>
        <v>0</v>
      </c>
      <c r="F59" s="149" cm="1">
        <f t="array" ref="F59">SUMPRODUCT((HCT6_HL[PURPOSE]=$B59)*
(YEAR(HCT6_HL[HEARING DATE])=$D$57)*
(ROUNDUP(MONTH(HCT6_HL[HEARING DATE])/3,0)=COLUMN(E57)))</f>
        <v>0</v>
      </c>
      <c r="G59" s="175">
        <f>SUM(C59:F59)</f>
        <v>0</v>
      </c>
    </row>
    <row r="60" spans="1:8" ht="18.75" x14ac:dyDescent="0.25">
      <c r="A60" s="269"/>
      <c r="B60" s="146" t="s">
        <v>382</v>
      </c>
      <c r="C60" s="149" cm="1">
        <f t="array" ref="C60">SUMPRODUCT((HCT6_HL[PURPOSE]=$B60)*
(YEAR(HCT6_HL[HEARING DATE])=$D$57)*
(ROUNDUP(MONTH(HCT6_HL[HEARING DATE])/3,0)=COLUMN(B58)))</f>
        <v>0</v>
      </c>
      <c r="D60" s="149" cm="1">
        <f t="array" ref="D60">SUMPRODUCT((HCT6_HL[PURPOSE]=$B60)*
(YEAR(HCT6_HL[HEARING DATE])=$D$57)*
(ROUNDUP(MONTH(HCT6_HL[HEARING DATE])/3,0)=COLUMN(C58)))</f>
        <v>0</v>
      </c>
      <c r="E60" s="149" cm="1">
        <f t="array" ref="E60">SUMPRODUCT((HCT6_HL[PURPOSE]=$B60)*
(YEAR(HCT6_HL[HEARING DATE])=$D$57)*
(ROUNDUP(MONTH(HCT6_HL[HEARING DATE])/3,0)=COLUMN(D58)))</f>
        <v>0</v>
      </c>
      <c r="F60" s="149" cm="1">
        <f t="array" ref="F60">SUMPRODUCT((HCT6_HL[PURPOSE]=$B60)*
(YEAR(HCT6_HL[HEARING DATE])=$D$57)*
(ROUNDUP(MONTH(HCT6_HL[HEARING DATE])/3,0)=COLUMN(E58)))</f>
        <v>0</v>
      </c>
      <c r="G60" s="145">
        <f t="shared" ref="G60:G66" si="7">SUM(C60:F60)</f>
        <v>0</v>
      </c>
    </row>
    <row r="61" spans="1:8" ht="18.75" x14ac:dyDescent="0.25">
      <c r="A61" s="268"/>
      <c r="B61" s="146" t="s">
        <v>303</v>
      </c>
      <c r="C61" s="149" cm="1">
        <f t="array" ref="C61">SUMPRODUCT((HCT6_HL[PURPOSE]=$B61)*
(YEAR(HCT6_HL[HEARING DATE])=$D$57)*
(ROUNDUP(MONTH(HCT6_HL[HEARING DATE])/3,0)=COLUMN(B59)))</f>
        <v>0</v>
      </c>
      <c r="D61" s="149" cm="1">
        <f t="array" ref="D61">SUMPRODUCT((HCT6_HL[PURPOSE]=$B61)*
(YEAR(HCT6_HL[HEARING DATE])=$D$57)*
(ROUNDUP(MONTH(HCT6_HL[HEARING DATE])/3,0)=COLUMN(C59)))</f>
        <v>0</v>
      </c>
      <c r="E61" s="149" cm="1">
        <f t="array" ref="E61">SUMPRODUCT((HCT6_HL[PURPOSE]=$B61)*
(YEAR(HCT6_HL[HEARING DATE])=$D$57)*
(ROUNDUP(MONTH(HCT6_HL[HEARING DATE])/3,0)=COLUMN(D59)))</f>
        <v>0</v>
      </c>
      <c r="F61" s="149" cm="1">
        <f t="array" ref="F61">SUMPRODUCT((HCT6_HL[PURPOSE]=$B61)*
(YEAR(HCT6_HL[HEARING DATE])=$D$57)*
(ROUNDUP(MONTH(HCT6_HL[HEARING DATE])/3,0)=COLUMN(E59)))</f>
        <v>0</v>
      </c>
      <c r="G61" s="145">
        <f t="shared" si="7"/>
        <v>0</v>
      </c>
    </row>
    <row r="62" spans="1:8" ht="18.75" x14ac:dyDescent="0.25">
      <c r="A62" s="141"/>
      <c r="B62" s="146" t="s">
        <v>381</v>
      </c>
      <c r="C62" s="149" cm="1">
        <f t="array" ref="C62">SUMPRODUCT((HCT6_HL[PURPOSE]=$B62)*
(YEAR(HCT6_HL[HEARING DATE])=$D$57)*
(ROUNDUP(MONTH(HCT6_HL[HEARING DATE])/3,0)=COLUMN(B60)))</f>
        <v>0</v>
      </c>
      <c r="D62" s="149" cm="1">
        <f t="array" ref="D62">SUMPRODUCT((HCT6_HL[PURPOSE]=$B62)*
(YEAR(HCT6_HL[HEARING DATE])=$D$57)*
(ROUNDUP(MONTH(HCT6_HL[HEARING DATE])/3,0)=COLUMN(C60)))</f>
        <v>0</v>
      </c>
      <c r="E62" s="149" cm="1">
        <f t="array" ref="E62">SUMPRODUCT((HCT6_HL[PURPOSE]=$B62)*
(YEAR(HCT6_HL[HEARING DATE])=$D$57)*
(ROUNDUP(MONTH(HCT6_HL[HEARING DATE])/3,0)=COLUMN(D60)))</f>
        <v>0</v>
      </c>
      <c r="F62" s="149" cm="1">
        <f t="array" ref="F62">SUMPRODUCT((HCT6_HL[PURPOSE]=$B62)*
(YEAR(HCT6_HL[HEARING DATE])=$D$57)*
(ROUNDUP(MONTH(HCT6_HL[HEARING DATE])/3,0)=COLUMN(E60)))</f>
        <v>0</v>
      </c>
      <c r="G62" s="145">
        <f t="shared" si="7"/>
        <v>0</v>
      </c>
    </row>
    <row r="63" spans="1:8" ht="18.75" x14ac:dyDescent="0.25">
      <c r="A63" s="147"/>
      <c r="B63" s="146" t="s">
        <v>373</v>
      </c>
      <c r="C63" s="149" cm="1">
        <f t="array" ref="C63">SUMPRODUCT((HCT6_HL[PURPOSE]=$B63)*
(YEAR(HCT6_HL[HEARING DATE])=$D$57)*
(ROUNDUP(MONTH(HCT6_HL[HEARING DATE])/3,0)=COLUMN(B61)))</f>
        <v>0</v>
      </c>
      <c r="D63" s="149" cm="1">
        <f t="array" ref="D63">SUMPRODUCT((HCT6_HL[PURPOSE]=$B63)*
(YEAR(HCT6_HL[HEARING DATE])=$D$57)*
(ROUNDUP(MONTH(HCT6_HL[HEARING DATE])/3,0)=COLUMN(C61)))</f>
        <v>0</v>
      </c>
      <c r="E63" s="149" cm="1">
        <f t="array" ref="E63">SUMPRODUCT((HCT6_HL[PURPOSE]=$B63)*
(YEAR(HCT6_HL[HEARING DATE])=$D$57)*
(ROUNDUP(MONTH(HCT6_HL[HEARING DATE])/3,0)=COLUMN(D61)))</f>
        <v>0</v>
      </c>
      <c r="F63" s="149" cm="1">
        <f t="array" ref="F63">SUMPRODUCT((HCT6_HL[PURPOSE]=$B63)*
(YEAR(HCT6_HL[HEARING DATE])=$D$57)*
(ROUNDUP(MONTH(HCT6_HL[HEARING DATE])/3,0)=COLUMN(E61)))</f>
        <v>0</v>
      </c>
      <c r="G63" s="145">
        <f t="shared" si="7"/>
        <v>0</v>
      </c>
    </row>
    <row r="64" spans="1:8" ht="18.75" x14ac:dyDescent="0.25">
      <c r="A64" s="140"/>
      <c r="B64" s="146" t="s">
        <v>376</v>
      </c>
      <c r="C64" s="149" cm="1">
        <f t="array" ref="C64">SUMPRODUCT((HCT6_HL[PURPOSE]=$B64)*
(YEAR(HCT6_HL[HEARING DATE])=$D$57)*
(ROUNDUP(MONTH(HCT6_HL[HEARING DATE])/3,0)=COLUMN(B62)))</f>
        <v>0</v>
      </c>
      <c r="D64" s="149" cm="1">
        <f t="array" ref="D64">SUMPRODUCT((HCT6_HL[PURPOSE]=$B64)*
(YEAR(HCT6_HL[HEARING DATE])=$D$57)*
(ROUNDUP(MONTH(HCT6_HL[HEARING DATE])/3,0)=COLUMN(C62)))</f>
        <v>0</v>
      </c>
      <c r="E64" s="149" cm="1">
        <f t="array" ref="E64">SUMPRODUCT((HCT6_HL[PURPOSE]=$B64)*
(YEAR(HCT6_HL[HEARING DATE])=$D$57)*
(ROUNDUP(MONTH(HCT6_HL[HEARING DATE])/3,0)=COLUMN(D62)))</f>
        <v>0</v>
      </c>
      <c r="F64" s="149" cm="1">
        <f t="array" ref="F64">SUMPRODUCT((HCT6_HL[PURPOSE]=$B64)*
(YEAR(HCT6_HL[HEARING DATE])=$D$57)*
(ROUNDUP(MONTH(HCT6_HL[HEARING DATE])/3,0)=COLUMN(E62)))</f>
        <v>0</v>
      </c>
      <c r="G64" s="145">
        <f t="shared" si="7"/>
        <v>0</v>
      </c>
    </row>
    <row r="65" spans="1:8" ht="18.75" x14ac:dyDescent="0.25">
      <c r="A65" s="155"/>
      <c r="B65" s="146" t="s">
        <v>372</v>
      </c>
      <c r="C65" s="149" cm="1">
        <f t="array" ref="C65">SUMPRODUCT((HCT6_HL[PURPOSE]=$B65)*
(YEAR(HCT6_HL[HEARING DATE])=$D$57)*
(ROUNDUP(MONTH(HCT6_HL[HEARING DATE])/3,0)=COLUMN(B63)))</f>
        <v>0</v>
      </c>
      <c r="D65" s="149" cm="1">
        <f t="array" ref="D65">SUMPRODUCT((HCT6_HL[PURPOSE]=$B65)*
(YEAR(HCT6_HL[HEARING DATE])=$D$57)*
(ROUNDUP(MONTH(HCT6_HL[HEARING DATE])/3,0)=COLUMN(C63)))</f>
        <v>0</v>
      </c>
      <c r="E65" s="149" cm="1">
        <f t="array" ref="E65">SUMPRODUCT((HCT6_HL[PURPOSE]=$B65)*
(YEAR(HCT6_HL[HEARING DATE])=$D$57)*
(ROUNDUP(MONTH(HCT6_HL[HEARING DATE])/3,0)=COLUMN(D63)))</f>
        <v>0</v>
      </c>
      <c r="F65" s="149" cm="1">
        <f t="array" ref="F65">SUMPRODUCT((HCT6_HL[PURPOSE]=$B65)*
(YEAR(HCT6_HL[HEARING DATE])=$D$57)*
(ROUNDUP(MONTH(HCT6_HL[HEARING DATE])/3,0)=COLUMN(E63)))</f>
        <v>0</v>
      </c>
      <c r="G65" s="145">
        <f t="shared" si="7"/>
        <v>0</v>
      </c>
    </row>
    <row r="66" spans="1:8" ht="18.75" x14ac:dyDescent="0.25">
      <c r="A66" s="139"/>
      <c r="B66" s="146" t="s">
        <v>371</v>
      </c>
      <c r="C66" s="149" cm="1">
        <f t="array" ref="C66">SUMPRODUCT((HCT6_HL[PURPOSE]=$B66)*
(YEAR(HCT6_HL[HEARING DATE])=$D$57)*
(ROUNDUP(MONTH(HCT6_HL[HEARING DATE])/3,0)=COLUMN(B64)))</f>
        <v>0</v>
      </c>
      <c r="D66" s="149" cm="1">
        <f t="array" ref="D66">SUMPRODUCT((HCT6_HL[PURPOSE]=$B66)*
(YEAR(HCT6_HL[HEARING DATE])=$D$57)*
(ROUNDUP(MONTH(HCT6_HL[HEARING DATE])/3,0)=COLUMN(C64)))</f>
        <v>0</v>
      </c>
      <c r="E66" s="149" cm="1">
        <f t="array" ref="E66">SUMPRODUCT((HCT6_HL[PURPOSE]=$B66)*
(YEAR(HCT6_HL[HEARING DATE])=$D$57)*
(ROUNDUP(MONTH(HCT6_HL[HEARING DATE])/3,0)=COLUMN(D64)))</f>
        <v>0</v>
      </c>
      <c r="F66" s="149" cm="1">
        <f t="array" ref="F66">SUMPRODUCT((HCT6_HL[PURPOSE]=$B66)*
(YEAR(HCT6_HL[HEARING DATE])=$D$57)*
(ROUNDUP(MONTH(HCT6_HL[HEARING DATE])/3,0)=COLUMN(E64)))</f>
        <v>0</v>
      </c>
      <c r="G66" s="145">
        <f t="shared" si="7"/>
        <v>0</v>
      </c>
    </row>
    <row r="67" spans="1:8" ht="20.25" thickBot="1" x14ac:dyDescent="0.3">
      <c r="A67" s="139"/>
      <c r="B67" s="137" t="s">
        <v>332</v>
      </c>
      <c r="C67" s="137">
        <f t="shared" ref="C67:F67" si="8">SUM(C59:C66)</f>
        <v>0</v>
      </c>
      <c r="D67" s="137">
        <f t="shared" si="8"/>
        <v>0</v>
      </c>
      <c r="E67" s="137">
        <f t="shared" si="8"/>
        <v>0</v>
      </c>
      <c r="F67" s="137">
        <f t="shared" si="8"/>
        <v>0</v>
      </c>
      <c r="G67" s="176">
        <f>SUM(G59:H66)</f>
        <v>0</v>
      </c>
    </row>
    <row r="68" spans="1:8" ht="15.75" thickTop="1" x14ac:dyDescent="0.2">
      <c r="A68" s="155"/>
    </row>
    <row r="69" spans="1:8" x14ac:dyDescent="0.2">
      <c r="A69" s="140"/>
    </row>
    <row r="70" spans="1:8" x14ac:dyDescent="0.2">
      <c r="A70" s="147"/>
      <c r="B70" s="171"/>
      <c r="C70" s="171"/>
      <c r="D70" s="171"/>
      <c r="E70" s="171"/>
      <c r="F70" s="171"/>
      <c r="G70" s="171"/>
      <c r="H70" s="171"/>
    </row>
    <row r="71" spans="1:8" x14ac:dyDescent="0.2">
      <c r="A71" s="141"/>
    </row>
    <row r="72" spans="1:8" ht="19.5" thickBot="1" x14ac:dyDescent="0.3">
      <c r="A72" s="268"/>
      <c r="B72" s="177" t="s">
        <v>334</v>
      </c>
    </row>
    <row r="73" spans="1:8" ht="15.75" thickTop="1" x14ac:dyDescent="0.2">
      <c r="A73" s="269"/>
      <c r="B73" s="136"/>
    </row>
    <row r="74" spans="1:8" x14ac:dyDescent="0.2">
      <c r="A74" s="142"/>
      <c r="B74" s="136"/>
    </row>
    <row r="75" spans="1:8" x14ac:dyDescent="0.2">
      <c r="A75" s="142"/>
      <c r="B75" s="136"/>
    </row>
    <row r="76" spans="1:8" x14ac:dyDescent="0.2">
      <c r="A76" s="139"/>
      <c r="B76" s="136"/>
    </row>
    <row r="77" spans="1:8" x14ac:dyDescent="0.2">
      <c r="A77" s="155"/>
      <c r="B77" s="136"/>
    </row>
    <row r="78" spans="1:8" ht="15.75" thickBot="1" x14ac:dyDescent="0.25">
      <c r="A78" s="140"/>
      <c r="B78" s="136"/>
    </row>
    <row r="79" spans="1:8" ht="19.5" thickBot="1" x14ac:dyDescent="0.3">
      <c r="A79" s="147"/>
      <c r="B79" s="136"/>
      <c r="C79" s="178" t="s">
        <v>368</v>
      </c>
      <c r="D79" s="179">
        <v>2026</v>
      </c>
      <c r="E79" s="178" t="s">
        <v>369</v>
      </c>
      <c r="F79" s="179" t="s">
        <v>266</v>
      </c>
    </row>
    <row r="80" spans="1:8" ht="19.5" thickBot="1" x14ac:dyDescent="0.3">
      <c r="A80" s="141"/>
      <c r="B80" s="177" t="s">
        <v>397</v>
      </c>
      <c r="C80" s="180" t="s">
        <v>264</v>
      </c>
      <c r="D80" s="181" t="s">
        <v>265</v>
      </c>
      <c r="E80" s="181" t="s">
        <v>266</v>
      </c>
      <c r="F80" s="181" t="s">
        <v>267</v>
      </c>
      <c r="G80" s="182" t="str">
        <f>"TOTAL FOR THE YEAR   " &amp; $D$79</f>
        <v>TOTAL FOR THE YEAR   2026</v>
      </c>
    </row>
    <row r="81" spans="1:22" ht="19.5" thickTop="1" x14ac:dyDescent="0.25">
      <c r="A81" s="268"/>
      <c r="B81" s="112" t="s">
        <v>395</v>
      </c>
      <c r="C81" s="149" cm="1">
        <f t="array" ref="C81">SUMPRODUCT((HCT6_HL[OUTCOME]=$B81)*
(YEAR(HCT6_HL[HEARING DATE])=$D$79)*
(ROUNDUP(MONTH(HCT6_HL[HEARING DATE])/3,0)=COLUMN(B79)))</f>
        <v>0</v>
      </c>
      <c r="D81" s="149" cm="1">
        <f t="array" ref="D81">SUMPRODUCT((HCT6_HL[OUTCOME]=$B81)*
(YEAR(HCT6_HL[HEARING DATE])=$D$79)*
(ROUNDUP(MONTH(HCT6_HL[HEARING DATE])/3,0)=COLUMN(C79)))</f>
        <v>0</v>
      </c>
      <c r="E81" s="149" cm="1">
        <f t="array" ref="E81">SUMPRODUCT((HCT6_HL[OUTCOME]=$B81)*
(YEAR(HCT6_HL[HEARING DATE])=$D$79)*
(ROUNDUP(MONTH(HCT6_HL[HEARING DATE])/3,0)=COLUMN(D79)))</f>
        <v>0</v>
      </c>
      <c r="F81" s="149" cm="1">
        <f t="array" ref="F81">SUMPRODUCT((HCT6_HL[OUTCOME]=$B81)*
(YEAR(HCT6_HL[HEARING DATE])=$D$79)*
(ROUNDUP(MONTH(HCT6_HL[HEARING DATE])/3,0)=COLUMN(E79)))</f>
        <v>0</v>
      </c>
      <c r="G81" s="149">
        <f>SUM(C81:F81)</f>
        <v>0</v>
      </c>
    </row>
    <row r="82" spans="1:22" ht="18.75" x14ac:dyDescent="0.25">
      <c r="A82" s="269"/>
      <c r="B82" s="183" t="s">
        <v>396</v>
      </c>
      <c r="C82" s="149" cm="1">
        <f t="array" ref="C82">SUMPRODUCT((HCT6_HL[OUTCOME]=$B82)*
(YEAR(HCT6_HL[HEARING DATE])=$D$79)*
(ROUNDUP(MONTH(HCT6_HL[HEARING DATE])/3,0)=COLUMN(B80)))</f>
        <v>0</v>
      </c>
      <c r="D82" s="149" cm="1">
        <f t="array" ref="D82">SUMPRODUCT((HCT6_HL[OUTCOME]=$B82)*
(YEAR(HCT6_HL[HEARING DATE])=$D$79)*
(ROUNDUP(MONTH(HCT6_HL[HEARING DATE])/3,0)=COLUMN(C80)))</f>
        <v>0</v>
      </c>
      <c r="E82" s="149" cm="1">
        <f t="array" ref="E82">SUMPRODUCT((HCT6_HL[OUTCOME]=$B82)*
(YEAR(HCT6_HL[HEARING DATE])=$D$79)*
(ROUNDUP(MONTH(HCT6_HL[HEARING DATE])/3,0)=COLUMN(D80)))</f>
        <v>0</v>
      </c>
      <c r="F82" s="149" cm="1">
        <f t="array" ref="F82">SUMPRODUCT((HCT6_HL[OUTCOME]=$B82)*
(YEAR(HCT6_HL[HEARING DATE])=$D$79)*
(ROUNDUP(MONTH(HCT6_HL[HEARING DATE])/3,0)=COLUMN(E80)))</f>
        <v>0</v>
      </c>
      <c r="G82" s="149">
        <f t="shared" ref="G82:G85" si="9">SUM(C82:F82)</f>
        <v>0</v>
      </c>
    </row>
    <row r="83" spans="1:22" ht="18.75" x14ac:dyDescent="0.25">
      <c r="A83" s="142"/>
      <c r="B83" s="183" t="s">
        <v>93</v>
      </c>
      <c r="C83" s="149" cm="1">
        <f t="array" ref="C83">SUMPRODUCT((HCT6_HL[OUTCOME]=$B83)*
(YEAR(HCT6_HL[HEARING DATE])=$D$79)*
(ROUNDUP(MONTH(HCT6_HL[HEARING DATE])/3,0)=COLUMN(B81)))</f>
        <v>0</v>
      </c>
      <c r="D83" s="149" cm="1">
        <f t="array" ref="D83">SUMPRODUCT((HCT6_HL[OUTCOME]=$B83)*
(YEAR(HCT6_HL[HEARING DATE])=$D$79)*
(ROUNDUP(MONTH(HCT6_HL[HEARING DATE])/3,0)=COLUMN(C81)))</f>
        <v>0</v>
      </c>
      <c r="E83" s="149" cm="1">
        <f t="array" ref="E83">SUMPRODUCT((HCT6_HL[OUTCOME]=$B83)*
(YEAR(HCT6_HL[HEARING DATE])=$D$79)*
(ROUNDUP(MONTH(HCT6_HL[HEARING DATE])/3,0)=COLUMN(D81)))</f>
        <v>0</v>
      </c>
      <c r="F83" s="149" cm="1">
        <f t="array" ref="F83">SUMPRODUCT((HCT6_HL[OUTCOME]=$B83)*
(YEAR(HCT6_HL[HEARING DATE])=$D$79)*
(ROUNDUP(MONTH(HCT6_HL[HEARING DATE])/3,0)=COLUMN(E81)))</f>
        <v>0</v>
      </c>
      <c r="G83" s="149">
        <f t="shared" si="9"/>
        <v>0</v>
      </c>
    </row>
    <row r="84" spans="1:22" ht="18.75" x14ac:dyDescent="0.25">
      <c r="A84" s="142"/>
      <c r="B84" s="183" t="s">
        <v>125</v>
      </c>
      <c r="C84" s="149" cm="1">
        <f t="array" ref="C84">SUMPRODUCT((HCT6_HL[OUTCOME]=$B84)*
(YEAR(HCT6_HL[HEARING DATE])=$D$79)*
(ROUNDUP(MONTH(HCT6_HL[HEARING DATE])/3,0)=COLUMN(B82)))</f>
        <v>0</v>
      </c>
      <c r="D84" s="149" cm="1">
        <f t="array" ref="D84">SUMPRODUCT((HCT6_HL[OUTCOME]=$B84)*
(YEAR(HCT6_HL[HEARING DATE])=$D$79)*
(ROUNDUP(MONTH(HCT6_HL[HEARING DATE])/3,0)=COLUMN(C82)))</f>
        <v>0</v>
      </c>
      <c r="E84" s="149" cm="1">
        <f t="array" ref="E84">SUMPRODUCT((HCT6_HL[OUTCOME]=$B84)*
(YEAR(HCT6_HL[HEARING DATE])=$D$79)*
(ROUNDUP(MONTH(HCT6_HL[HEARING DATE])/3,0)=COLUMN(D82)))</f>
        <v>0</v>
      </c>
      <c r="F84" s="149" cm="1">
        <f t="array" ref="F84">SUMPRODUCT((HCT6_HL[OUTCOME]=$B84)*
(YEAR(HCT6_HL[HEARING DATE])=$D$79)*
(ROUNDUP(MONTH(HCT6_HL[HEARING DATE])/3,0)=COLUMN(E82)))</f>
        <v>0</v>
      </c>
      <c r="G84" s="149">
        <f t="shared" si="9"/>
        <v>0</v>
      </c>
    </row>
    <row r="85" spans="1:22" ht="18.75" x14ac:dyDescent="0.25">
      <c r="A85" s="269"/>
      <c r="B85" s="184" t="s">
        <v>314</v>
      </c>
      <c r="C85" s="149" cm="1">
        <f t="array" ref="C85">SUMPRODUCT((HCT6_HL[OUTCOME]=$B85)*
(YEAR(HCT6_HL[HEARING DATE])=$D$79)*
(ROUNDUP(MONTH(HCT6_HL[HEARING DATE])/3,0)=COLUMN(B83)))</f>
        <v>0</v>
      </c>
      <c r="D85" s="149" cm="1">
        <f t="array" ref="D85">SUMPRODUCT((HCT6_HL[OUTCOME]=$B85)*
(YEAR(HCT6_HL[HEARING DATE])=$D$79)*
(ROUNDUP(MONTH(HCT6_HL[HEARING DATE])/3,0)=COLUMN(C83)))</f>
        <v>0</v>
      </c>
      <c r="E85" s="149" cm="1">
        <f t="array" ref="E85">SUMPRODUCT((HCT6_HL[OUTCOME]=$B85)*
(YEAR(HCT6_HL[HEARING DATE])=$D$79)*
(ROUNDUP(MONTH(HCT6_HL[HEARING DATE])/3,0)=COLUMN(D83)))</f>
        <v>0</v>
      </c>
      <c r="F85" s="149" cm="1">
        <f t="array" ref="F85">SUMPRODUCT((HCT6_HL[OUTCOME]=$B85)*
(YEAR(HCT6_HL[HEARING DATE])=$D$79)*
(ROUNDUP(MONTH(HCT6_HL[HEARING DATE])/3,0)=COLUMN(E83)))</f>
        <v>0</v>
      </c>
      <c r="G85" s="149">
        <f t="shared" si="9"/>
        <v>0</v>
      </c>
    </row>
    <row r="86" spans="1:22" ht="20.25" thickBot="1" x14ac:dyDescent="0.3">
      <c r="A86" s="268"/>
      <c r="B86" s="137" t="s">
        <v>332</v>
      </c>
      <c r="C86" s="185">
        <f t="shared" ref="C86:F86" si="10">SUM(C81:C85)</f>
        <v>0</v>
      </c>
      <c r="D86" s="185">
        <f t="shared" si="10"/>
        <v>0</v>
      </c>
      <c r="E86" s="185">
        <f t="shared" si="10"/>
        <v>0</v>
      </c>
      <c r="F86" s="185">
        <f t="shared" si="10"/>
        <v>0</v>
      </c>
      <c r="G86" s="186"/>
      <c r="H86" s="187"/>
    </row>
    <row r="87" spans="1:22" ht="19.5" thickTop="1" x14ac:dyDescent="0.25">
      <c r="A87" s="141"/>
      <c r="B87" s="188"/>
      <c r="C87" s="188"/>
      <c r="D87" s="189"/>
      <c r="E87" s="189"/>
      <c r="F87" s="189"/>
      <c r="G87" s="189"/>
      <c r="R87" s="189" t="s">
        <v>341</v>
      </c>
    </row>
    <row r="88" spans="1:22" ht="19.5" thickBot="1" x14ac:dyDescent="0.3">
      <c r="A88" s="147"/>
      <c r="B88" s="189" t="s">
        <v>342</v>
      </c>
      <c r="C88" s="62">
        <v>2026</v>
      </c>
      <c r="D88" s="124" t="s">
        <v>337</v>
      </c>
      <c r="E88" s="62" t="s">
        <v>264</v>
      </c>
      <c r="F88" s="190"/>
      <c r="G88" s="189"/>
    </row>
    <row r="89" spans="1:22" ht="21" thickTop="1" thickBot="1" x14ac:dyDescent="0.3">
      <c r="A89" s="140"/>
      <c r="B89" s="189"/>
      <c r="C89" s="189"/>
      <c r="D89" s="189"/>
      <c r="E89" s="189"/>
      <c r="F89" s="189"/>
      <c r="G89" s="189"/>
      <c r="R89" s="191" t="s">
        <v>335</v>
      </c>
      <c r="S89" s="191" t="s">
        <v>2</v>
      </c>
      <c r="T89" s="191" t="s">
        <v>336</v>
      </c>
      <c r="U89" s="191" t="s">
        <v>238</v>
      </c>
      <c r="V89" s="191" t="s">
        <v>338</v>
      </c>
    </row>
    <row r="90" spans="1:22" ht="21" thickTop="1" thickBot="1" x14ac:dyDescent="0.3">
      <c r="A90" s="155"/>
      <c r="B90" s="191" t="s">
        <v>335</v>
      </c>
      <c r="C90" s="191" t="s">
        <v>2</v>
      </c>
      <c r="D90" s="191" t="s">
        <v>336</v>
      </c>
      <c r="E90" s="191" t="s">
        <v>238</v>
      </c>
      <c r="F90" s="191" t="s">
        <v>338</v>
      </c>
    </row>
    <row r="91" spans="1:22" ht="15.75" thickTop="1" x14ac:dyDescent="0.2">
      <c r="A91" s="139"/>
      <c r="B91" s="192"/>
      <c r="R91" s="122" t="str" cm="1">
        <f t="array" ref="R91">IFERROR(_xlfn._xlws.SORT(_xlfn._xlws.FILTER(_xlfn.CHOOSECOLS(HCT6_HL[],2,3,6,7,14),HCT6_HL[OUTCOME]="JUDGMENT DELIVERED"),5,1),"NO DATA PROVIDED")</f>
        <v>NO DATA PROVIDED</v>
      </c>
      <c r="V91" s="162"/>
    </row>
    <row r="92" spans="1:22" ht="16.5" x14ac:dyDescent="0.25">
      <c r="B92" s="193" t="str" cm="1">
        <f t="array" ref="B92">_xlfn._xlws.FILTER(
_xlfn.HSTACK(
HCT6_HL[SUIT NUMBER],
HCT6_HL[PARTIES],
HCT6_HL[CASE TYPE],
HCT6_HL[NATURE OF CLAIM/CRIME],
HCT6_HL[DATE CONCLUDED]
),
(HCT6_HL[OUTCOME]="JUDGMENT DELIVERED")*
(YEAR(HCT6_HL[DATE CONCLUDED])=$C$88)*
(ROUNDUP(MONTH(HCT6_HL[DATE CONCLUDED])/3,0)=VALUE(RIGHT($E$88,1))),
"NO DATA PROVIDED YET"
)</f>
        <v>NO DATA PROVIDED YET</v>
      </c>
      <c r="C92" s="193"/>
      <c r="D92" s="193"/>
      <c r="E92" s="193"/>
      <c r="F92" s="194"/>
      <c r="V92" s="162"/>
    </row>
    <row r="93" spans="1:22" ht="16.5" x14ac:dyDescent="0.25">
      <c r="A93" s="139"/>
      <c r="B93" s="193"/>
      <c r="C93" s="193"/>
      <c r="D93" s="193"/>
      <c r="E93" s="193"/>
      <c r="F93" s="194"/>
      <c r="V93" s="162"/>
    </row>
    <row r="94" spans="1:22" ht="16.5" x14ac:dyDescent="0.25">
      <c r="A94" s="155"/>
      <c r="B94" s="193"/>
      <c r="C94" s="193"/>
      <c r="D94" s="193"/>
      <c r="E94" s="193"/>
      <c r="F94" s="194"/>
    </row>
    <row r="95" spans="1:22" ht="16.5" x14ac:dyDescent="0.25">
      <c r="A95" s="140"/>
      <c r="B95" s="193"/>
      <c r="C95" s="193"/>
      <c r="D95" s="193"/>
      <c r="E95" s="193"/>
      <c r="F95" s="194"/>
      <c r="M95" s="162"/>
    </row>
    <row r="96" spans="1:22" x14ac:dyDescent="0.2">
      <c r="A96" s="147"/>
      <c r="M96" s="162"/>
    </row>
    <row r="97" spans="1:13" ht="16.5" x14ac:dyDescent="0.25">
      <c r="A97" s="141"/>
      <c r="C97" s="195"/>
      <c r="D97" s="195"/>
      <c r="E97" s="195"/>
      <c r="F97" s="196"/>
      <c r="M97" s="162"/>
    </row>
    <row r="98" spans="1:13" x14ac:dyDescent="0.2">
      <c r="A98" s="268"/>
      <c r="M98" s="162"/>
    </row>
    <row r="99" spans="1:13" x14ac:dyDescent="0.2">
      <c r="A99" s="269"/>
      <c r="F99" s="162"/>
      <c r="M99" s="162"/>
    </row>
    <row r="100" spans="1:13" x14ac:dyDescent="0.2">
      <c r="A100" s="142"/>
      <c r="F100" s="162"/>
      <c r="M100" s="162"/>
    </row>
    <row r="101" spans="1:13" x14ac:dyDescent="0.2">
      <c r="F101" s="162"/>
      <c r="M101" s="162"/>
    </row>
    <row r="102" spans="1:13" x14ac:dyDescent="0.2">
      <c r="A102" s="139"/>
      <c r="F102" s="162"/>
      <c r="M102" s="162"/>
    </row>
    <row r="103" spans="1:13" x14ac:dyDescent="0.2">
      <c r="A103" s="155"/>
      <c r="F103" s="162"/>
      <c r="M103" s="162"/>
    </row>
    <row r="104" spans="1:13" x14ac:dyDescent="0.2">
      <c r="A104" s="140"/>
      <c r="F104" s="162"/>
      <c r="M104" s="162"/>
    </row>
    <row r="105" spans="1:13" x14ac:dyDescent="0.2">
      <c r="A105" s="147"/>
      <c r="F105" s="162"/>
      <c r="M105" s="162"/>
    </row>
    <row r="106" spans="1:13" x14ac:dyDescent="0.2">
      <c r="A106" s="141"/>
      <c r="F106" s="162"/>
      <c r="M106" s="162"/>
    </row>
    <row r="107" spans="1:13" x14ac:dyDescent="0.2">
      <c r="A107" s="268"/>
      <c r="F107" s="162"/>
      <c r="M107" s="162"/>
    </row>
    <row r="108" spans="1:13" x14ac:dyDescent="0.2">
      <c r="A108" s="269"/>
      <c r="M108" s="162"/>
    </row>
    <row r="109" spans="1:13" x14ac:dyDescent="0.2">
      <c r="A109" s="142"/>
      <c r="M109" s="162"/>
    </row>
    <row r="110" spans="1:13" x14ac:dyDescent="0.2">
      <c r="A110" s="142"/>
      <c r="M110" s="162"/>
    </row>
    <row r="111" spans="1:13" x14ac:dyDescent="0.2">
      <c r="A111" s="269"/>
      <c r="M111" s="162"/>
    </row>
    <row r="112" spans="1:13" x14ac:dyDescent="0.2">
      <c r="A112" s="268"/>
      <c r="M112" s="162"/>
    </row>
    <row r="113" spans="1:13" x14ac:dyDescent="0.2">
      <c r="A113" s="141"/>
      <c r="M113" s="162"/>
    </row>
    <row r="114" spans="1:13" x14ac:dyDescent="0.2">
      <c r="A114" s="147"/>
      <c r="M114" s="162"/>
    </row>
    <row r="115" spans="1:13" x14ac:dyDescent="0.2">
      <c r="A115" s="140"/>
      <c r="M115" s="162"/>
    </row>
    <row r="116" spans="1:13" x14ac:dyDescent="0.2">
      <c r="A116" s="155"/>
      <c r="M116" s="162"/>
    </row>
    <row r="117" spans="1:13" x14ac:dyDescent="0.2">
      <c r="A117" s="139"/>
      <c r="M117" s="162"/>
    </row>
    <row r="118" spans="1:13" x14ac:dyDescent="0.2">
      <c r="A118" s="139"/>
    </row>
    <row r="119" spans="1:13" x14ac:dyDescent="0.2">
      <c r="A119" s="155"/>
    </row>
    <row r="120" spans="1:13" x14ac:dyDescent="0.2">
      <c r="A120" s="140"/>
    </row>
    <row r="121" spans="1:13" x14ac:dyDescent="0.2">
      <c r="A121" s="147"/>
    </row>
    <row r="122" spans="1:13" x14ac:dyDescent="0.2">
      <c r="A122" s="141"/>
    </row>
    <row r="123" spans="1:13" x14ac:dyDescent="0.2">
      <c r="A123" s="268"/>
    </row>
    <row r="124" spans="1:13" x14ac:dyDescent="0.2">
      <c r="A124" s="269"/>
    </row>
    <row r="125" spans="1:13" x14ac:dyDescent="0.2">
      <c r="A125" s="142"/>
    </row>
    <row r="126" spans="1:13" x14ac:dyDescent="0.2">
      <c r="A126" s="142"/>
    </row>
    <row r="127" spans="1:13" x14ac:dyDescent="0.2">
      <c r="A127" s="139"/>
    </row>
    <row r="128" spans="1:13" x14ac:dyDescent="0.2">
      <c r="A128" s="155"/>
    </row>
    <row r="129" spans="1:1" x14ac:dyDescent="0.2">
      <c r="A129" s="140"/>
    </row>
    <row r="130" spans="1:1" x14ac:dyDescent="0.2">
      <c r="A130" s="147"/>
    </row>
    <row r="131" spans="1:1" x14ac:dyDescent="0.2">
      <c r="A131" s="141"/>
    </row>
    <row r="132" spans="1:1" x14ac:dyDescent="0.2">
      <c r="A132" s="268"/>
    </row>
    <row r="133" spans="1:1" x14ac:dyDescent="0.2">
      <c r="A133" s="269"/>
    </row>
    <row r="134" spans="1:1" x14ac:dyDescent="0.2">
      <c r="A134" s="142"/>
    </row>
    <row r="135" spans="1:1" x14ac:dyDescent="0.2">
      <c r="A135" s="142"/>
    </row>
    <row r="136" spans="1:1" x14ac:dyDescent="0.2">
      <c r="A136" s="269"/>
    </row>
    <row r="137" spans="1:1" x14ac:dyDescent="0.2">
      <c r="A137" s="268"/>
    </row>
    <row r="138" spans="1:1" x14ac:dyDescent="0.2">
      <c r="A138" s="141"/>
    </row>
    <row r="139" spans="1:1" x14ac:dyDescent="0.2">
      <c r="A139" s="147"/>
    </row>
    <row r="140" spans="1:1" x14ac:dyDescent="0.2">
      <c r="A140" s="140"/>
    </row>
    <row r="141" spans="1:1" x14ac:dyDescent="0.2">
      <c r="A141" s="155"/>
    </row>
    <row r="142" spans="1:1" x14ac:dyDescent="0.2">
      <c r="A142" s="139"/>
    </row>
    <row r="144" spans="1:1" x14ac:dyDescent="0.2">
      <c r="A144" s="139"/>
    </row>
    <row r="145" spans="1:1" x14ac:dyDescent="0.2">
      <c r="A145" s="155"/>
    </row>
    <row r="146" spans="1:1" x14ac:dyDescent="0.2">
      <c r="A146" s="140"/>
    </row>
    <row r="147" spans="1:1" x14ac:dyDescent="0.2">
      <c r="A147" s="147"/>
    </row>
    <row r="148" spans="1:1" x14ac:dyDescent="0.2">
      <c r="A148" s="141"/>
    </row>
    <row r="149" spans="1:1" x14ac:dyDescent="0.2">
      <c r="A149" s="268"/>
    </row>
    <row r="150" spans="1:1" x14ac:dyDescent="0.2">
      <c r="A150" s="269"/>
    </row>
    <row r="151" spans="1:1" x14ac:dyDescent="0.2">
      <c r="A151" s="142"/>
    </row>
    <row r="153" spans="1:1" x14ac:dyDescent="0.2">
      <c r="A153" s="139"/>
    </row>
    <row r="154" spans="1:1" x14ac:dyDescent="0.2">
      <c r="A154" s="155"/>
    </row>
    <row r="155" spans="1:1" x14ac:dyDescent="0.2">
      <c r="A155" s="140"/>
    </row>
    <row r="156" spans="1:1" x14ac:dyDescent="0.2">
      <c r="A156" s="147"/>
    </row>
    <row r="157" spans="1:1" x14ac:dyDescent="0.2">
      <c r="A157" s="141"/>
    </row>
    <row r="158" spans="1:1" x14ac:dyDescent="0.2">
      <c r="A158" s="268"/>
    </row>
    <row r="159" spans="1:1" x14ac:dyDescent="0.2">
      <c r="A159" s="269"/>
    </row>
    <row r="160" spans="1:1" x14ac:dyDescent="0.2">
      <c r="A160" s="142"/>
    </row>
    <row r="161" spans="1:1" x14ac:dyDescent="0.2">
      <c r="A161" s="142"/>
    </row>
    <row r="162" spans="1:1" x14ac:dyDescent="0.2">
      <c r="A162" s="269"/>
    </row>
    <row r="163" spans="1:1" x14ac:dyDescent="0.2">
      <c r="A163" s="268"/>
    </row>
    <row r="164" spans="1:1" x14ac:dyDescent="0.2">
      <c r="A164" s="141"/>
    </row>
    <row r="165" spans="1:1" x14ac:dyDescent="0.2">
      <c r="A165" s="147"/>
    </row>
    <row r="166" spans="1:1" x14ac:dyDescent="0.2">
      <c r="A166" s="140"/>
    </row>
    <row r="167" spans="1:1" x14ac:dyDescent="0.2">
      <c r="A167" s="155"/>
    </row>
    <row r="168" spans="1:1" x14ac:dyDescent="0.2">
      <c r="A168" s="139"/>
    </row>
    <row r="169" spans="1:1" x14ac:dyDescent="0.2">
      <c r="A169" s="139"/>
    </row>
    <row r="170" spans="1:1" x14ac:dyDescent="0.2">
      <c r="A170" s="155"/>
    </row>
    <row r="171" spans="1:1" x14ac:dyDescent="0.2">
      <c r="A171" s="140"/>
    </row>
    <row r="172" spans="1:1" x14ac:dyDescent="0.2">
      <c r="A172" s="147"/>
    </row>
    <row r="173" spans="1:1" x14ac:dyDescent="0.2">
      <c r="A173" s="141"/>
    </row>
    <row r="174" spans="1:1" x14ac:dyDescent="0.2">
      <c r="A174" s="268"/>
    </row>
    <row r="175" spans="1:1" x14ac:dyDescent="0.2">
      <c r="A175" s="269"/>
    </row>
    <row r="176" spans="1:1" x14ac:dyDescent="0.2">
      <c r="A176" s="142"/>
    </row>
    <row r="177" spans="1:1" x14ac:dyDescent="0.2">
      <c r="A177" s="142"/>
    </row>
    <row r="178" spans="1:1" x14ac:dyDescent="0.2">
      <c r="A178" s="139"/>
    </row>
    <row r="179" spans="1:1" x14ac:dyDescent="0.2">
      <c r="A179" s="155"/>
    </row>
    <row r="180" spans="1:1" x14ac:dyDescent="0.2">
      <c r="A180" s="140"/>
    </row>
    <row r="181" spans="1:1" x14ac:dyDescent="0.2">
      <c r="A181" s="147"/>
    </row>
    <row r="182" spans="1:1" x14ac:dyDescent="0.2">
      <c r="A182" s="141"/>
    </row>
    <row r="183" spans="1:1" x14ac:dyDescent="0.2">
      <c r="A183" s="268"/>
    </row>
    <row r="184" spans="1:1" x14ac:dyDescent="0.2">
      <c r="A184" s="269"/>
    </row>
    <row r="185" spans="1:1" x14ac:dyDescent="0.2">
      <c r="A185" s="142"/>
    </row>
    <row r="186" spans="1:1" x14ac:dyDescent="0.2">
      <c r="A186" s="142"/>
    </row>
    <row r="187" spans="1:1" x14ac:dyDescent="0.2">
      <c r="A187" s="269"/>
    </row>
    <row r="188" spans="1:1" x14ac:dyDescent="0.2">
      <c r="A188" s="268"/>
    </row>
    <row r="189" spans="1:1" x14ac:dyDescent="0.2">
      <c r="A189" s="141"/>
    </row>
    <row r="190" spans="1:1" x14ac:dyDescent="0.2">
      <c r="A190" s="147"/>
    </row>
    <row r="191" spans="1:1" x14ac:dyDescent="0.2">
      <c r="A191" s="140"/>
    </row>
    <row r="192" spans="1:1" x14ac:dyDescent="0.2">
      <c r="A192" s="155"/>
    </row>
    <row r="193" spans="1:1" x14ac:dyDescent="0.2">
      <c r="A193" s="139"/>
    </row>
    <row r="195" spans="1:1" x14ac:dyDescent="0.2">
      <c r="A195" s="139"/>
    </row>
    <row r="196" spans="1:1" x14ac:dyDescent="0.2">
      <c r="A196" s="155"/>
    </row>
    <row r="197" spans="1:1" x14ac:dyDescent="0.2">
      <c r="A197" s="140"/>
    </row>
    <row r="198" spans="1:1" x14ac:dyDescent="0.2">
      <c r="A198" s="147"/>
    </row>
    <row r="199" spans="1:1" x14ac:dyDescent="0.2">
      <c r="A199" s="141"/>
    </row>
    <row r="200" spans="1:1" x14ac:dyDescent="0.2">
      <c r="A200" s="268"/>
    </row>
    <row r="201" spans="1:1" x14ac:dyDescent="0.2">
      <c r="A201" s="269"/>
    </row>
    <row r="202" spans="1:1" x14ac:dyDescent="0.2">
      <c r="A202" s="142"/>
    </row>
    <row r="204" spans="1:1" x14ac:dyDescent="0.2">
      <c r="A204" s="139"/>
    </row>
    <row r="205" spans="1:1" x14ac:dyDescent="0.2">
      <c r="A205" s="155"/>
    </row>
    <row r="206" spans="1:1" x14ac:dyDescent="0.2">
      <c r="A206" s="140"/>
    </row>
    <row r="207" spans="1:1" x14ac:dyDescent="0.2">
      <c r="A207" s="147"/>
    </row>
    <row r="208" spans="1:1" x14ac:dyDescent="0.2">
      <c r="A208" s="141"/>
    </row>
    <row r="209" spans="1:1" x14ac:dyDescent="0.2">
      <c r="A209" s="268"/>
    </row>
    <row r="210" spans="1:1" x14ac:dyDescent="0.2">
      <c r="A210" s="269"/>
    </row>
    <row r="211" spans="1:1" x14ac:dyDescent="0.2">
      <c r="A211" s="142"/>
    </row>
    <row r="212" spans="1:1" x14ac:dyDescent="0.2">
      <c r="A212" s="142"/>
    </row>
    <row r="213" spans="1:1" x14ac:dyDescent="0.2">
      <c r="A213" s="269"/>
    </row>
    <row r="214" spans="1:1" x14ac:dyDescent="0.2">
      <c r="A214" s="268"/>
    </row>
    <row r="215" spans="1:1" x14ac:dyDescent="0.2">
      <c r="A215" s="141"/>
    </row>
    <row r="216" spans="1:1" x14ac:dyDescent="0.2">
      <c r="A216" s="147"/>
    </row>
    <row r="217" spans="1:1" x14ac:dyDescent="0.2">
      <c r="A217" s="140"/>
    </row>
    <row r="218" spans="1:1" x14ac:dyDescent="0.2">
      <c r="A218" s="155"/>
    </row>
    <row r="219" spans="1:1" x14ac:dyDescent="0.2">
      <c r="A219" s="139"/>
    </row>
  </sheetData>
  <mergeCells count="3">
    <mergeCell ref="B52:C52"/>
    <mergeCell ref="B34:D34"/>
    <mergeCell ref="B16:C16"/>
  </mergeCells>
  <conditionalFormatting sqref="C23:F29">
    <cfRule type="expression" dxfId="3" priority="22">
      <formula>COLUMN(C22)-COLUMN($C22)+1 = VALUE(RIGHT($F$21,1))</formula>
    </cfRule>
  </conditionalFormatting>
  <conditionalFormatting sqref="C41:F47">
    <cfRule type="expression" dxfId="2" priority="10">
      <formula>COLUMN(C41)-COLUMN($C41)+1=VALUE(RIGHT($F$39,1))</formula>
    </cfRule>
  </conditionalFormatting>
  <conditionalFormatting sqref="C59:F66">
    <cfRule type="expression" dxfId="1" priority="9">
      <formula>COLUMN(C59)-COLUMN($C59)+1=VALUE(RIGHT($F$57,1))</formula>
    </cfRule>
  </conditionalFormatting>
  <conditionalFormatting sqref="C81:G85">
    <cfRule type="expression" dxfId="0" priority="8">
      <formula>COLUMN(C81)-COLUMN($C81)+1=VALUE(RIGHT($F$79,1))</formula>
    </cfRule>
  </conditionalFormatting>
  <dataValidations count="5">
    <dataValidation type="list" allowBlank="1" showInputMessage="1" showErrorMessage="1" sqref="M45" xr:uid="{683971F4-4A04-40CE-A82E-CF0B79916502}">
      <formula1>INSIGHTS</formula1>
    </dataValidation>
    <dataValidation type="list" allowBlank="1" showInputMessage="1" showErrorMessage="1" sqref="F21 F39 F57" xr:uid="{78B61490-4CB7-4105-BC24-C4EC4CDCBEE0}">
      <formula1>QUARTER</formula1>
    </dataValidation>
    <dataValidation type="list" allowBlank="1" showInputMessage="1" showErrorMessage="1" prompt="SELECT THE QUARTER HERE" sqref="E88" xr:uid="{C0BBAAB4-4D64-4BC0-8350-ECF62E5BD2CB}">
      <formula1>QUARTER</formula1>
    </dataValidation>
    <dataValidation type="list" allowBlank="1" showInputMessage="1" showErrorMessage="1" prompt="SELECT A RANGE" sqref="K26" xr:uid="{E1D3D0FD-5A76-41DC-B2BA-C8DA7F554C8E}">
      <formula1>CURRENT_CASE_AGE</formula1>
    </dataValidation>
    <dataValidation type="list" allowBlank="1" showInputMessage="1" showErrorMessage="1" prompt="SELECT A QUARTER" sqref="F79" xr:uid="{D4FF7D94-DAFA-476F-A918-91620E666846}">
      <formula1>QUARTER</formula1>
    </dataValidation>
  </dataValidations>
  <hyperlinks>
    <hyperlink ref="C1" location="'CASE REGISTER'!A1" display="CASE REGISTER" xr:uid="{BE82404A-ECC6-4AB1-96EA-951721884FE9}"/>
    <hyperlink ref="D1" location="'HEARING LOG'!A1" display="HEARING LOG" xr:uid="{0B1A85B1-8A69-4DA2-B7EC-51B6A4B4B599}"/>
    <hyperlink ref="E1" location="'AUTO CAUSE LIST'!A1" display="AUTO CAUSE LIST" xr:uid="{503D2D99-72DC-4EB8-AB85-2227F7B89CF2}"/>
    <hyperlink ref="F1" location="'COUNSEL DIRECTORY'!A1" tooltip="COUNSEL DIRECTORY" display="'COUNSEL DIRECTORY'!A1" xr:uid="{F240EE83-5A76-4511-BE26-72E89F289019}"/>
    <hyperlink ref="B1" location="'HOME PAGE'!A1" display="HOME" xr:uid="{2322724A-B957-4D1C-9863-8B730DA73E4B}"/>
    <hyperlink ref="G1" location="'QUARTER REPORT'!A1" tooltip="QUARTERLY REPORT" display="'QUARTER REPORT'!A1" xr:uid="{30C05B82-9C7F-4303-931C-352E8D27BDB0}"/>
  </hyperlinks>
  <pageMargins left="0.70866141732283472" right="0.70866141732283472" top="0.74803149606299213" bottom="0.74803149606299213" header="0.31496062992125984" footer="0.31496062992125984"/>
  <pageSetup scale="12"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85CAE13D-65DB-46D4-B776-AECEC9BFFA9C}">
          <x14:formula1>
            <xm:f>LISTS!$G$46:$G$65</xm:f>
          </x14:formula1>
          <xm:sqref>D57 D21 D39</xm:sqref>
        </x14:dataValidation>
        <x14:dataValidation type="list" allowBlank="1" showInputMessage="1" showErrorMessage="1" prompt="SELECT THE YEAR HERE" xr:uid="{FF9F519E-924D-4832-927D-777AC2131B2B}">
          <x14:formula1>
            <xm:f>LISTS!$G$46:$G$65</xm:f>
          </x14:formula1>
          <xm:sqref>C88</xm:sqref>
        </x14:dataValidation>
        <x14:dataValidation type="list" allowBlank="1" showInputMessage="1" showErrorMessage="1" prompt="SELECT A YEAR FROM THE LIST" xr:uid="{CD3FAA3A-9FAF-4B66-8228-8454A39F9A8B}">
          <x14:formula1>
            <xm:f>LISTS!$G$46:$G$65</xm:f>
          </x14:formula1>
          <xm:sqref>D79</xm:sqref>
        </x14:dataValidation>
      </x14:dataValidations>
    </ext>
    <ext xmlns:x14="http://schemas.microsoft.com/office/spreadsheetml/2009/9/main" uri="{05C60535-1F16-4fd2-B633-F4F36F0B64E0}">
      <x14:sparklineGroups xmlns:xm="http://schemas.microsoft.com/office/excel/2006/main">
        <x14:sparklineGroup type="column" displayEmptyCellsAs="gap" xr2:uid="{83884476-1C0A-4F4A-9E2A-5BA24AE3FB57}">
          <x14:colorSeries rgb="FF0070C0"/>
          <x14:colorNegative rgb="FF000000"/>
          <x14:colorAxis rgb="FF000000"/>
          <x14:colorMarkers rgb="FF000000"/>
          <x14:colorFirst rgb="FF000000"/>
          <x14:colorLast rgb="FF000000"/>
          <x14:colorHigh rgb="FF000000"/>
          <x14:colorLow rgb="FF000000"/>
          <x14:sparklines>
            <x14:sparkline>
              <xm:f>INSIGHTS!G1:G1</xm:f>
              <xm:sqref>H81</xm:sqref>
            </x14:sparkline>
            <x14:sparkline>
              <xm:f>INSIGHTS!G2:G2</xm:f>
              <xm:sqref>H82</xm:sqref>
            </x14:sparkline>
            <x14:sparkline>
              <xm:f>INSIGHTS!G3:G3</xm:f>
              <xm:sqref>H83</xm:sqref>
            </x14:sparkline>
            <x14:sparkline>
              <xm:f>INSIGHTS!G4:G4</xm:f>
              <xm:sqref>H84</xm:sqref>
            </x14:sparkline>
            <x14:sparkline>
              <xm:f>INSIGHTS!G5:G5</xm:f>
              <xm:sqref>H85</xm:sqref>
            </x14:sparkline>
          </x14:sparklines>
        </x14:sparklineGroup>
        <x14:sparklineGroup displayEmptyCellsAs="gap" xr2:uid="{EED78C3B-F606-4865-BBF3-DA3D5357973A}">
          <x14:colorSeries rgb="FF376092"/>
          <x14:colorNegative rgb="FFD00000"/>
          <x14:colorAxis rgb="FF000000"/>
          <x14:colorMarkers rgb="FFD00000"/>
          <x14:colorFirst rgb="FFD00000"/>
          <x14:colorLast rgb="FFD00000"/>
          <x14:colorHigh rgb="FFD00000"/>
          <x14:colorLow rgb="FFD00000"/>
          <x14:sparklines>
            <x14:sparkline>
              <xm:f>INSIGHTS!G41:G41</xm:f>
              <xm:sqref>H41</xm:sqref>
            </x14:sparkline>
            <x14:sparkline>
              <xm:f>INSIGHTS!G42:G42</xm:f>
              <xm:sqref>H42</xm:sqref>
            </x14:sparkline>
            <x14:sparkline>
              <xm:f>INSIGHTS!G43:G43</xm:f>
              <xm:sqref>H43</xm:sqref>
            </x14:sparkline>
            <x14:sparkline>
              <xm:f>INSIGHTS!G44:G44</xm:f>
              <xm:sqref>H44</xm:sqref>
            </x14:sparkline>
            <x14:sparkline>
              <xm:f>INSIGHTS!G45:G45</xm:f>
              <xm:sqref>H45</xm:sqref>
            </x14:sparkline>
            <x14:sparkline>
              <xm:f>INSIGHTS!G46:G46</xm:f>
              <xm:sqref>H46</xm:sqref>
            </x14:sparkline>
            <x14:sparkline>
              <xm:f>INSIGHTS!G47:G47</xm:f>
              <xm:sqref>H47</xm:sqref>
            </x14:sparkline>
            <x14:sparkline>
              <xm:f>INSIGHTS!G48:G48</xm:f>
              <xm:sqref>H48</xm:sqref>
            </x14:sparkline>
          </x14:sparklines>
        </x14:sparklineGroup>
        <x14:sparklineGroup type="column" displayEmptyCellsAs="gap" xr2:uid="{6F58DE09-7447-4079-AE27-214D18943AA5}">
          <x14:colorSeries rgb="FF376092"/>
          <x14:colorNegative rgb="FFD00000"/>
          <x14:colorAxis rgb="FF000000"/>
          <x14:colorMarkers rgb="FFD00000"/>
          <x14:colorFirst rgb="FFD00000"/>
          <x14:colorLast rgb="FFD00000"/>
          <x14:colorHigh rgb="FFD00000"/>
          <x14:colorLow rgb="FFD00000"/>
          <x14:sparklines>
            <x14:sparkline>
              <xm:f>INSIGHTS!G23:G23</xm:f>
              <xm:sqref>H23</xm:sqref>
            </x14:sparkline>
            <x14:sparkline>
              <xm:f>INSIGHTS!G24:G24</xm:f>
              <xm:sqref>H24</xm:sqref>
            </x14:sparkline>
            <x14:sparkline>
              <xm:f>INSIGHTS!G25:G25</xm:f>
              <xm:sqref>H25</xm:sqref>
            </x14:sparkline>
            <x14:sparkline>
              <xm:f>INSIGHTS!G26:G26</xm:f>
              <xm:sqref>H26</xm:sqref>
            </x14:sparkline>
            <x14:sparkline>
              <xm:f>INSIGHTS!G27:G27</xm:f>
              <xm:sqref>H27</xm:sqref>
            </x14:sparkline>
            <x14:sparkline>
              <xm:f>INSIGHTS!G28:G28</xm:f>
              <xm:sqref>H28</xm:sqref>
            </x14:sparkline>
            <x14:sparkline>
              <xm:f>INSIGHTS!G29:G29</xm:f>
              <xm:sqref>H29</xm:sqref>
            </x14:sparkline>
            <x14:sparkline>
              <xm:f>INSIGHTS!G30:G30</xm:f>
              <xm:sqref>H30</xm:sqref>
            </x14:sparkline>
          </x14:sparklines>
        </x14:sparklineGroup>
        <x14:sparklineGroup displayEmptyCellsAs="gap" xr2:uid="{E5CC1C0C-BA8A-4DB5-A615-C74AF7A9A771}">
          <x14:colorSeries rgb="FFFF0000"/>
          <x14:colorNegative theme="4"/>
          <x14:colorAxis rgb="FF000000"/>
          <x14:colorMarkers theme="9" tint="-0.499984740745262"/>
          <x14:colorFirst theme="9" tint="0.39997558519241921"/>
          <x14:colorLast theme="9" tint="0.39997558519241921"/>
          <x14:colorHigh theme="9"/>
          <x14:colorLow theme="9"/>
          <x14:sparklines>
            <x14:sparkline>
              <xm:sqref>H59</xm:sqref>
            </x14:sparkline>
            <x14:sparkline>
              <xm:sqref>H60</xm:sqref>
            </x14:sparkline>
            <x14:sparkline>
              <xm:sqref>H61</xm:sqref>
            </x14:sparkline>
            <x14:sparkline>
              <xm:sqref>H62</xm:sqref>
            </x14:sparkline>
            <x14:sparkline>
              <xm:sqref>H63</xm:sqref>
            </x14:sparkline>
            <x14:sparkline>
              <xm:sqref>H64</xm:sqref>
            </x14:sparkline>
            <x14:sparkline>
              <xm:sqref>H65</xm:sqref>
            </x14:sparkline>
            <x14:sparkline>
              <xm:sqref>H66</xm:sqref>
            </x14:sparkline>
            <x14:sparkline>
              <xm:f>INSIGHTS!G67:G67</xm:f>
              <xm:sqref>H67</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8416B-3C89-4F3F-9A6F-A615779EBEF7}">
  <dimension ref="A4:R54"/>
  <sheetViews>
    <sheetView topLeftCell="F10" workbookViewId="0">
      <selection activeCell="O13" sqref="O13"/>
    </sheetView>
  </sheetViews>
  <sheetFormatPr defaultRowHeight="15" x14ac:dyDescent="0.2"/>
  <cols>
    <col min="3" max="3" width="31.4765625" bestFit="1" customWidth="1"/>
    <col min="4" max="4" width="11.1640625" customWidth="1"/>
    <col min="6" max="6" width="15.46875" customWidth="1"/>
    <col min="7" max="7" width="11.1640625" customWidth="1"/>
    <col min="8" max="8" width="23.67578125" bestFit="1" customWidth="1"/>
    <col min="9" max="10" width="11.1640625" customWidth="1"/>
    <col min="11" max="11" width="44.79296875" bestFit="1" customWidth="1"/>
    <col min="12" max="13" width="11.1640625" customWidth="1"/>
  </cols>
  <sheetData>
    <row r="4" spans="1:18" ht="20.25" thickBot="1" x14ac:dyDescent="0.3">
      <c r="C4" s="14" t="s">
        <v>260</v>
      </c>
      <c r="O4" t="s">
        <v>323</v>
      </c>
    </row>
    <row r="5" spans="1:18" ht="16.5" thickTop="1" thickBot="1" x14ac:dyDescent="0.25">
      <c r="C5" s="31" t="s">
        <v>261</v>
      </c>
      <c r="F5" t="s">
        <v>19</v>
      </c>
      <c r="H5" s="35"/>
      <c r="I5" s="37"/>
      <c r="K5" t="s">
        <v>363</v>
      </c>
      <c r="O5" s="276" t="s">
        <v>263</v>
      </c>
      <c r="P5" s="277"/>
      <c r="Q5" s="277"/>
      <c r="R5" s="35"/>
    </row>
    <row r="6" spans="1:18" x14ac:dyDescent="0.2">
      <c r="A6">
        <v>1</v>
      </c>
      <c r="C6" s="30" t="s">
        <v>14</v>
      </c>
      <c r="D6" t="s">
        <v>245</v>
      </c>
      <c r="F6" s="41" t="s">
        <v>233</v>
      </c>
      <c r="G6" s="42" t="s">
        <v>245</v>
      </c>
      <c r="H6" s="32" t="s">
        <v>234</v>
      </c>
      <c r="I6" t="s">
        <v>245</v>
      </c>
      <c r="K6" t="s">
        <v>364</v>
      </c>
      <c r="O6" s="47" t="s">
        <v>264</v>
      </c>
      <c r="P6" s="47" t="s">
        <v>265</v>
      </c>
      <c r="Q6" s="47" t="s">
        <v>266</v>
      </c>
      <c r="R6" s="47" t="s">
        <v>267</v>
      </c>
    </row>
    <row r="7" spans="1:18" x14ac:dyDescent="0.2">
      <c r="C7" t="s">
        <v>246</v>
      </c>
      <c r="D7">
        <f>COUNTIF(HCT6_CR[STATUS],"ACTIVE")</f>
        <v>0</v>
      </c>
      <c r="F7" s="17" t="s">
        <v>91</v>
      </c>
      <c r="G7" s="17">
        <f>COUNTIF(HCT6_HL[PURPOSE],"MENTION")</f>
        <v>0</v>
      </c>
      <c r="H7" t="s">
        <v>91</v>
      </c>
      <c r="I7">
        <f>COUNTIF(HCT6_HL[NEXT ACTION],"MENTION")</f>
        <v>0</v>
      </c>
      <c r="K7" t="s">
        <v>365</v>
      </c>
      <c r="O7" s="46">
        <f ca="1">COUNTIFS(HCT6_HL[DATE CONCLUDED],"&gt;="&amp;DATE(YEAR(TODAY()),1,1),HCT6_HL[DATE CONCLUDED],"&lt;"&amp;DATE(YEAR(TODAY()),4,1))</f>
        <v>0</v>
      </c>
      <c r="P7" s="46">
        <f ca="1">COUNTIFS(HCT6_HL[DATE CONCLUDED],"&gt;="&amp;DATE(YEAR(TODAY()),4,1),HCT6_HL[DATE CONCLUDED],"&lt;"&amp;DATE(YEAR(TODAY()),7,1))</f>
        <v>0</v>
      </c>
      <c r="Q7" s="46">
        <f ca="1">COUNTIFS(HCT6_HL[DATE CONCLUDED],"&gt;="&amp;DATE(YEAR(TODAY()),7,1),HCT6_HL[DATE CONCLUDED],"&lt;"&amp;DATE(YEAR(TODAY()),10,1))</f>
        <v>0</v>
      </c>
      <c r="R7" s="46">
        <f ca="1">COUNTIFS(HCT6_HL[DATE CONCLUDED],"&gt;="&amp;DATE(YEAR(TODAY()),10,1),HCT6_HL[DATE CONCLUDED],"&lt;"&amp;DATE(YEAR(TODAY())+1,1,1))</f>
        <v>0</v>
      </c>
    </row>
    <row r="8" spans="1:18" x14ac:dyDescent="0.2">
      <c r="C8" t="s">
        <v>257</v>
      </c>
      <c r="D8">
        <f>COUNTIF(HCT6_CR[STATUS],"CONCLUDED")</f>
        <v>0</v>
      </c>
      <c r="F8" s="19" t="s">
        <v>152</v>
      </c>
      <c r="G8" s="19">
        <f>COUNTIF(HCT6_HL[PURPOSE],"PTC")</f>
        <v>0</v>
      </c>
      <c r="H8" t="s">
        <v>81</v>
      </c>
      <c r="I8">
        <f>COUNTIF(HCT6_HL[NEXT ACTION],"HEARING")</f>
        <v>0</v>
      </c>
      <c r="K8" t="s">
        <v>366</v>
      </c>
      <c r="O8" s="34"/>
    </row>
    <row r="9" spans="1:18" x14ac:dyDescent="0.2">
      <c r="C9" s="43" t="s">
        <v>6</v>
      </c>
      <c r="D9" s="20">
        <f>COUNTIF(HCT6_CR[CASE TYPE],"CIVIL_SUIT")</f>
        <v>0</v>
      </c>
      <c r="F9" s="17" t="s">
        <v>81</v>
      </c>
      <c r="G9" s="17">
        <f>COUNTIF(HCT6_HL[PURPOSE],"HEARING")</f>
        <v>0</v>
      </c>
      <c r="H9" t="s">
        <v>52</v>
      </c>
      <c r="I9">
        <f>COUNTIF(HCT6_HL[NEXT ACTION],"MOTION")</f>
        <v>0</v>
      </c>
      <c r="K9" t="s">
        <v>367</v>
      </c>
      <c r="O9" s="34"/>
    </row>
    <row r="10" spans="1:18" x14ac:dyDescent="0.2">
      <c r="C10" s="44" t="s">
        <v>248</v>
      </c>
      <c r="D10" s="18">
        <f>COUNTIF(HCT6_CR[CASE TYPE],"FHR")</f>
        <v>0</v>
      </c>
      <c r="F10" s="19" t="s">
        <v>117</v>
      </c>
      <c r="G10" s="19">
        <f>COUNTIF(HCT6_HL[PURPOSE],"DEFENCE")</f>
        <v>0</v>
      </c>
      <c r="H10" t="s">
        <v>117</v>
      </c>
      <c r="I10">
        <f>COUNTIF(HCT6_HL[NEXT ACTION],"DEFENCE")</f>
        <v>0</v>
      </c>
      <c r="O10" s="34"/>
    </row>
    <row r="11" spans="1:18" x14ac:dyDescent="0.2">
      <c r="C11" s="43" t="s">
        <v>226</v>
      </c>
      <c r="D11" s="20">
        <f>COUNTIF(HCT6_CR[CASE TYPE],"MOTION")</f>
        <v>0</v>
      </c>
      <c r="F11" s="17" t="s">
        <v>124</v>
      </c>
      <c r="G11" s="17">
        <f>COUNTIF(HCT6_HL[PURPOSE],"ADDRESS")</f>
        <v>0</v>
      </c>
      <c r="H11" t="s">
        <v>124</v>
      </c>
      <c r="I11">
        <f>COUNTIF(HCT6_HL[NEXT ACTION],"ADDRESS")</f>
        <v>0</v>
      </c>
      <c r="O11" s="278" t="s">
        <v>274</v>
      </c>
      <c r="P11" s="279"/>
      <c r="Q11" s="279"/>
    </row>
    <row r="12" spans="1:18" x14ac:dyDescent="0.2">
      <c r="C12" s="44" t="s">
        <v>258</v>
      </c>
      <c r="D12" s="18">
        <f>COUNTIF(HCT6_CR[CASE TYPE],"MATRIMONIAL")</f>
        <v>0</v>
      </c>
      <c r="F12" s="19" t="s">
        <v>84</v>
      </c>
      <c r="G12" s="19">
        <f>COUNTIF(HCT6_HL[PURPOSE],"JUDGMENT")</f>
        <v>0</v>
      </c>
      <c r="H12" t="s">
        <v>84</v>
      </c>
      <c r="I12">
        <f>COUNTIF(HCT6_HL[NEXT ACTION],"JUDGMENT")</f>
        <v>0</v>
      </c>
      <c r="O12" s="48" t="s">
        <v>264</v>
      </c>
      <c r="P12" s="48" t="s">
        <v>265</v>
      </c>
      <c r="Q12" s="48" t="s">
        <v>266</v>
      </c>
      <c r="R12" s="48" t="s">
        <v>267</v>
      </c>
    </row>
    <row r="13" spans="1:18" ht="15.75" thickBot="1" x14ac:dyDescent="0.25">
      <c r="C13" s="43" t="s">
        <v>247</v>
      </c>
      <c r="D13" s="20">
        <f>COUNTIF(HCT6_CR[CASE TYPE],"CRIMINAL_MATTER")</f>
        <v>0</v>
      </c>
      <c r="F13" s="17" t="s">
        <v>135</v>
      </c>
      <c r="G13" s="17">
        <f>COUNTIF(HCT6_HL[PURPOSE],"RULING")</f>
        <v>0</v>
      </c>
      <c r="H13" t="s">
        <v>140</v>
      </c>
      <c r="I13">
        <f>COUNTIF(HCT6_HL[NEXT ACTION],"PLEA")</f>
        <v>0</v>
      </c>
      <c r="O13" s="33">
        <f ca="1">COUNTIFS(HCT6_CR[DATE ASSIGNED],"&gt;="&amp;DATE(YEAR(TODAY()),1,1),HCT6_CR[DATE ASSIGNED],"&lt;"&amp;DATE(YEAR(TODAY()),4,1))</f>
        <v>0</v>
      </c>
      <c r="P13" s="33">
        <f ca="1">COUNTIFS(HCT6_CR[DATE ASSIGNED],"&gt;="&amp;DATE(YEAR(TODAY()),4,1),HCT6_CR[DATE ASSIGNED],"&lt;"&amp;DATE(YEAR(TODAY()),7,1))</f>
        <v>0</v>
      </c>
      <c r="Q13" s="33">
        <f ca="1">COUNTIFS(HCT6_CR[DATE ASSIGNED],"&gt;="&amp;DATE(YEAR(TODAY()),7,1),HCT6_CR[DATE ASSIGNED],"&lt;"&amp;DATE(YEAR(TODAY()),10,1))</f>
        <v>0</v>
      </c>
      <c r="R13" s="33">
        <f ca="1">COUNTIFS(HCT6_CR[DATE ASSIGNED],"&gt;="&amp;DATE(YEAR(TODAY()),10,1),HCT6_CR[DATE ASSIGNED],"&lt;"&amp;DATE(YEAR(TODAY())+1,1,1))</f>
        <v>0</v>
      </c>
    </row>
    <row r="14" spans="1:18" ht="15.75" thickBot="1" x14ac:dyDescent="0.25">
      <c r="C14" s="44" t="s">
        <v>259</v>
      </c>
      <c r="D14" s="18">
        <f>COUNTIF(HCT6_CR[CASE TYPE],"APPEAL")</f>
        <v>0</v>
      </c>
      <c r="F14" s="34"/>
      <c r="H14" t="s">
        <v>28</v>
      </c>
      <c r="I14">
        <f>COUNTIF(HCT6_HL[NEXT ACTION],"APPEAL")</f>
        <v>0</v>
      </c>
      <c r="L14" s="93">
        <v>2026</v>
      </c>
      <c r="M14" t="s">
        <v>267</v>
      </c>
      <c r="O14" s="34"/>
    </row>
    <row r="15" spans="1:18" x14ac:dyDescent="0.2">
      <c r="C15" t="s">
        <v>225</v>
      </c>
      <c r="D15">
        <f>COUNTIF(HCT6_CR[STATUS],"BAIL")</f>
        <v>0</v>
      </c>
      <c r="F15" s="34"/>
      <c r="H15" t="s">
        <v>152</v>
      </c>
      <c r="I15">
        <f>COUNTIF(HCT6_HL[NEXT ACTION],"PTC")</f>
        <v>0</v>
      </c>
      <c r="O15" s="34"/>
    </row>
    <row r="16" spans="1:18" x14ac:dyDescent="0.2">
      <c r="F16" s="34"/>
      <c r="H16" t="s">
        <v>83</v>
      </c>
      <c r="I16">
        <f>COUNTIF(HCT6_HL[NEXT ACTION],"REPORT_OF_SETTLEMENT")</f>
        <v>0</v>
      </c>
      <c r="O16" s="34" t="s">
        <v>250</v>
      </c>
    </row>
    <row r="17" spans="3:18" x14ac:dyDescent="0.2">
      <c r="F17" s="34"/>
      <c r="H17" t="s">
        <v>164</v>
      </c>
      <c r="I17">
        <f>COUNTIF(HCT6_HL[NEXT ACTION],"XX OF WITNESS")</f>
        <v>0</v>
      </c>
      <c r="O17" s="48" t="s">
        <v>264</v>
      </c>
      <c r="P17" s="48" t="s">
        <v>265</v>
      </c>
      <c r="Q17" s="48" t="s">
        <v>266</v>
      </c>
      <c r="R17" s="48" t="s">
        <v>267</v>
      </c>
    </row>
    <row r="18" spans="3:18" x14ac:dyDescent="0.2">
      <c r="F18" s="34"/>
      <c r="H18" t="s">
        <v>170</v>
      </c>
      <c r="I18">
        <f>COUNTIF(HCT6_HL[NEXT ACTION],"CONSENT JUDGMENT")</f>
        <v>0</v>
      </c>
      <c r="O18" s="33">
        <f ca="1">COUNTIFS(HCT6_HL[RULING],"&gt;="&amp;DATE(YEAR(TODAY()),1,1),HCT6_HL[RULING],"&lt;"&amp;DATE(YEAR(TODAY()),4,1))</f>
        <v>0</v>
      </c>
      <c r="P18" s="33">
        <f ca="1">COUNTIFS(HCT6_HL[RULING],"&gt;="&amp;DATE(YEAR(TODAY()),4,1),HCT6_HL[RULING],"&lt;"&amp;DATE(YEAR(TODAY()),7,1))</f>
        <v>0</v>
      </c>
      <c r="Q18" s="33">
        <f ca="1">COUNTIFS(HCT6_HL[RULING],"&gt;="&amp;DATE(YEAR(TODAY()),7,1),HCT6_HL[RULING],"&lt;"&amp;DATE(YEAR(TODAY()),10,1))</f>
        <v>0</v>
      </c>
      <c r="R18" s="33">
        <f ca="1">COUNTIFS(HCT6_HL[RULING],"&gt;="&amp;DATE(YEAR(TODAY()),10,1),HCT6_HL[RULING],"&lt;"&amp;DATE(YEAR(TODAY())+1,1,1))</f>
        <v>0</v>
      </c>
    </row>
    <row r="19" spans="3:18" x14ac:dyDescent="0.2">
      <c r="F19" s="34"/>
      <c r="H19" t="s">
        <v>135</v>
      </c>
      <c r="I19">
        <f>COUNTIF(HCT6_HL[NEXT ACTION],"RULING")</f>
        <v>0</v>
      </c>
      <c r="O19" s="34"/>
    </row>
    <row r="20" spans="3:18" x14ac:dyDescent="0.2">
      <c r="F20" s="34"/>
      <c r="H20" t="s">
        <v>305</v>
      </c>
      <c r="I20">
        <f>COUNTIF(HCT6_HL[NEXT ACTION],"APPLICATION FOR BAIL")</f>
        <v>0</v>
      </c>
      <c r="O20" s="34" t="s">
        <v>324</v>
      </c>
    </row>
    <row r="21" spans="3:18" x14ac:dyDescent="0.2">
      <c r="F21" s="34"/>
      <c r="H21" t="s">
        <v>302</v>
      </c>
      <c r="I21">
        <f>COUNTIF(HCT6_HL[NEXT ACTION],"TRIAL")</f>
        <v>0</v>
      </c>
      <c r="O21" s="34"/>
    </row>
    <row r="22" spans="3:18" x14ac:dyDescent="0.2">
      <c r="F22" s="38"/>
      <c r="G22" s="36"/>
      <c r="H22" t="s">
        <v>306</v>
      </c>
      <c r="I22">
        <f>COUNTIF(HCT6_HL[NEXT ACTION],"ARRAIGNMENT")</f>
        <v>0</v>
      </c>
    </row>
    <row r="24" spans="3:18" x14ac:dyDescent="0.2">
      <c r="C24" t="s">
        <v>325</v>
      </c>
      <c r="O24" s="47" t="s">
        <v>264</v>
      </c>
      <c r="P24" s="47" t="s">
        <v>265</v>
      </c>
      <c r="Q24" s="47" t="s">
        <v>266</v>
      </c>
      <c r="R24" s="47" t="s">
        <v>267</v>
      </c>
    </row>
    <row r="25" spans="3:18" x14ac:dyDescent="0.2">
      <c r="O25" s="46" t="e" cm="1" vm="2">
        <f t="array" aca="1" ref="O25" ca="1">COUNTIFS(HCT6_HL[OUTCOME],"JUDGMENT DELIVERED")*(YEAR(HCT6_HL[DATE CONCLUDED]=$L$14)*(ROUNDUP(MONTH(HCT6_HL[DATE CONCLUDED])/3,0)=VALUE(RIGHT($M$14,1))))</f>
        <v>#VALUE!</v>
      </c>
      <c r="P25" s="46" t="e" cm="1" vm="2">
        <f t="array" aca="1" ref="P25" ca="1">COUNTIFS(HCT6_HL[OUTCOME],"JUDGMENT DELIVERED")*(YEAR(HCT6_HL[DATE CONCLUDED]=$L$14)*(ROUNDUP(MONTH(HCT6_HL[DATE CONCLUDED])/3,0)=VALUE(RIGHT($M$14,1))))</f>
        <v>#VALUE!</v>
      </c>
      <c r="Q25" s="46" t="e" cm="1" vm="2">
        <f t="array" aca="1" ref="Q25" ca="1">COUNTIFS(HCT6_HL[OUTCOME],"JUDGMENT DELIVERED")*(YEAR(HCT6_HL[DATE CONCLUDED]=$L$14)*(ROUNDUP(MONTH(HCT6_HL[DATE CONCLUDED])/3,0)=VALUE(RIGHT($M$14,1))))</f>
        <v>#VALUE!</v>
      </c>
      <c r="R25" s="46" t="e" cm="1" vm="2">
        <f t="array" aca="1" ref="R25" ca="1">COUNTIFS(HCT6_HL[OUTCOME],"JUDGMENT DELIVERED")*(YEAR(HCT6_HL[DATE CONCLUDED]=$L$14)*(ROUNDUP(MONTH(HCT6_HL[DATE CONCLUDED])/3,0)=VALUE(RIGHT($M$14,1))))</f>
        <v>#VALUE!</v>
      </c>
    </row>
    <row r="26" spans="3:18" x14ac:dyDescent="0.2">
      <c r="C26" t="s">
        <v>9</v>
      </c>
    </row>
    <row r="27" spans="3:18" x14ac:dyDescent="0.2">
      <c r="C27" t="s">
        <v>224</v>
      </c>
      <c r="D27" s="50" t="s">
        <v>328</v>
      </c>
      <c r="E27" s="50">
        <f ca="1">COUNTIFS(HCT6_CR[DATE FILED],"&gt;="&amp;DATE(YEAR(TODAY()),4,1),HCT6_CR[DATE FILED],"&lt;"&amp;DATE(YEAR(TODAY()),7,1))</f>
        <v>0</v>
      </c>
      <c r="F27" s="50">
        <f ca="1">COUNTIFS(HCT6_CR[DATE FILED],"&gt;="&amp;DATE(YEAR(TODAY()),7,1),HCT6_CR[DATE FILED],"&lt;"&amp;DATE(YEAR(TODAY()),10,1))</f>
        <v>0</v>
      </c>
      <c r="G27" s="51">
        <f ca="1">COUNTIFS(HCT6_CR[DATE CONCLUDED],"&gt;="&amp;DATE(YEAR(TODAY()),10,1),HCT6_CR[DATE FILED],"&lt;"&amp;DATE(YEAR(TODAY())+1,1,1))</f>
        <v>0</v>
      </c>
    </row>
    <row r="28" spans="3:18" x14ac:dyDescent="0.2">
      <c r="C28" t="s">
        <v>311</v>
      </c>
      <c r="D28" s="49">
        <f ca="1">COUNTIFS(HCT6_CR[DATE FILED],"&gt;="&amp;DATE(YEAR(TODAY()),1,1),HCT6_CR[DATE FILED],"&lt;"&amp;DATE(YEAR(TODAY()),4,1))</f>
        <v>0</v>
      </c>
      <c r="E28" s="50">
        <f ca="1">COUNTIFS(HCT6_CR[DATE FILED],"&gt;="&amp;DATE(YEAR(TODAY()),4,1),HCT6_CR[DATE FILED],"&lt;"&amp;DATE(YEAR(TODAY()),7,1))</f>
        <v>0</v>
      </c>
      <c r="F28" s="50">
        <f ca="1">COUNTIFS(HCT6_CR[DATE FILED],"&gt;="&amp;DATE(YEAR(TODAY()),7,1),HCT6_CR[DATE FILED],"&lt;"&amp;DATE(YEAR(TODAY()),10,1))</f>
        <v>0</v>
      </c>
      <c r="G28" s="51">
        <f ca="1">COUNTIFS(HCT6_CR[DATE CONCLUDED],"&gt;="&amp;DATE(YEAR(TODAY()),10,1),HCT6_CR[DATE FILED],"&lt;"&amp;DATE(YEAR(TODAY())+1,1,1))</f>
        <v>0</v>
      </c>
    </row>
    <row r="29" spans="3:18" x14ac:dyDescent="0.2">
      <c r="C29" t="s">
        <v>326</v>
      </c>
      <c r="D29" s="49">
        <f ca="1">COUNTIFS(HCT6_CR[DATE FILED],"&gt;="&amp;DATE(YEAR(TODAY()),1,1),HCT6_CR[DATE FILED],"&lt;"&amp;DATE(YEAR(TODAY()),4,1))</f>
        <v>0</v>
      </c>
      <c r="E29" s="50">
        <f ca="1">COUNTIFS(HCT6_CR[DATE FILED],"&gt;="&amp;DATE(YEAR(TODAY()),4,1),HCT6_CR[DATE FILED],"&lt;"&amp;DATE(YEAR(TODAY()),7,1))</f>
        <v>0</v>
      </c>
      <c r="F29" s="50">
        <f ca="1">COUNTIFS(HCT6_CR[DATE FILED],"&gt;="&amp;DATE(YEAR(TODAY()),7,1),HCT6_CR[DATE FILED],"&lt;"&amp;DATE(YEAR(TODAY()),10,1))</f>
        <v>0</v>
      </c>
      <c r="G29" s="51">
        <f ca="1">COUNTIFS(HCT6_CR[DATE CONCLUDED],"&gt;="&amp;DATE(YEAR(TODAY()),10,1),HCT6_CR[DATE FILED],"&lt;"&amp;DATE(YEAR(TODAY())+1,1,1))</f>
        <v>0</v>
      </c>
    </row>
    <row r="30" spans="3:18" x14ac:dyDescent="0.2">
      <c r="C30" t="s">
        <v>226</v>
      </c>
      <c r="D30" s="49">
        <f ca="1">COUNTIFS(HCT6_CR[DATE FILED],"&gt;="&amp;DATE(YEAR(TODAY()),1,1),HCT6_CR[DATE FILED],"&lt;"&amp;DATE(YEAR(TODAY()),4,1))</f>
        <v>0</v>
      </c>
      <c r="E30" s="50">
        <f ca="1">COUNTIFS(HCT6_CR[DATE FILED],"&gt;="&amp;DATE(YEAR(TODAY()),4,1),HCT6_CR[DATE FILED],"&lt;"&amp;DATE(YEAR(TODAY()),7,1))</f>
        <v>0</v>
      </c>
      <c r="F30" s="50">
        <f ca="1">COUNTIFS(HCT6_CR[DATE FILED],"&gt;="&amp;DATE(YEAR(TODAY()),7,1),HCT6_CR[DATE FILED],"&lt;"&amp;DATE(YEAR(TODAY()),10,1))</f>
        <v>0</v>
      </c>
      <c r="G30" s="51">
        <f ca="1">COUNTIFS(HCT6_CR[DATE CONCLUDED],"&gt;="&amp;DATE(YEAR(TODAY()),10,1),HCT6_CR[DATE FILED],"&lt;"&amp;DATE(YEAR(TODAY())+1,1,1))</f>
        <v>0</v>
      </c>
    </row>
    <row r="31" spans="3:18" x14ac:dyDescent="0.2">
      <c r="C31" t="s">
        <v>327</v>
      </c>
      <c r="D31" s="49">
        <f ca="1">COUNTIFS(HCT6_CR[DATE FILED],"&gt;="&amp;DATE(YEAR(TODAY()),1,1),HCT6_CR[DATE FILED],"&lt;"&amp;DATE(YEAR(TODAY()),4,1))</f>
        <v>0</v>
      </c>
      <c r="E31" s="50">
        <f ca="1">COUNTIFS(HCT6_CR[DATE FILED],"&gt;="&amp;DATE(YEAR(TODAY()),4,1),HCT6_CR[DATE FILED],"&lt;"&amp;DATE(YEAR(TODAY()),7,1))</f>
        <v>0</v>
      </c>
      <c r="F31" s="50">
        <f ca="1">COUNTIFS(HCT6_CR[DATE FILED],"&gt;="&amp;DATE(YEAR(TODAY()),7,1),HCT6_CR[DATE FILED],"&lt;"&amp;DATE(YEAR(TODAY()),10,1))</f>
        <v>0</v>
      </c>
      <c r="G31" s="51">
        <f ca="1">COUNTIFS(HCT6_CR[DATE CONCLUDED],"&gt;="&amp;DATE(YEAR(TODAY()),10,1),HCT6_CR[DATE FILED],"&lt;"&amp;DATE(YEAR(TODAY())+1,1,1))</f>
        <v>0</v>
      </c>
    </row>
    <row r="44" spans="3:3" x14ac:dyDescent="0.2">
      <c r="C44" t="s">
        <v>84</v>
      </c>
    </row>
    <row r="45" spans="3:3" x14ac:dyDescent="0.2">
      <c r="C45" t="s">
        <v>140</v>
      </c>
    </row>
    <row r="46" spans="3:3" x14ac:dyDescent="0.2">
      <c r="C46" t="s">
        <v>28</v>
      </c>
    </row>
    <row r="47" spans="3:3" x14ac:dyDescent="0.2">
      <c r="C47" t="s">
        <v>152</v>
      </c>
    </row>
    <row r="48" spans="3:3" x14ac:dyDescent="0.2">
      <c r="C48" t="s">
        <v>83</v>
      </c>
    </row>
    <row r="49" spans="3:3" x14ac:dyDescent="0.2">
      <c r="C49" t="s">
        <v>164</v>
      </c>
    </row>
    <row r="50" spans="3:3" x14ac:dyDescent="0.2">
      <c r="C50" t="s">
        <v>135</v>
      </c>
    </row>
    <row r="51" spans="3:3" x14ac:dyDescent="0.2">
      <c r="C51" t="s">
        <v>180</v>
      </c>
    </row>
    <row r="52" spans="3:3" x14ac:dyDescent="0.2">
      <c r="C52" t="s">
        <v>174</v>
      </c>
    </row>
    <row r="53" spans="3:3" x14ac:dyDescent="0.2">
      <c r="C53" t="s">
        <v>302</v>
      </c>
    </row>
    <row r="54" spans="3:3" x14ac:dyDescent="0.2">
      <c r="C54" t="s">
        <v>303</v>
      </c>
    </row>
  </sheetData>
  <mergeCells count="2">
    <mergeCell ref="O5:Q5"/>
    <mergeCell ref="O11:Q11"/>
  </mergeCells>
  <dataValidations count="1">
    <dataValidation type="list" allowBlank="1" showInputMessage="1" showErrorMessage="1" sqref="M14" xr:uid="{BE5AF501-B0CE-4F89-A6BA-4DCAA3D4AC26}">
      <formula1>QUARTER</formula1>
    </dataValidation>
  </dataValidations>
  <pageMargins left="0.7" right="0.7" top="0.75" bottom="0.75" header="0.3" footer="0.3"/>
  <tableParts count="7">
    <tablePart r:id="rId1"/>
    <tablePart r:id="rId2"/>
    <tablePart r:id="rId3"/>
    <tablePart r:id="rId4"/>
    <tablePart r:id="rId5"/>
    <tablePart r:id="rId6"/>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F4478E8E-7406-473C-AF6D-EA2F0AFD76B6}">
          <x14:formula1>
            <xm:f>LISTS!$G$46:$G$65</xm:f>
          </x14:formula1>
          <xm:sqref>L14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B22E4-6AC8-4FC7-8C6C-11E1D6B579AB}">
  <dimension ref="A1"/>
  <sheetViews>
    <sheetView workbookViewId="0">
      <selection activeCell="C16" sqref="C16"/>
    </sheetView>
  </sheetViews>
  <sheetFormatPr defaultRowHeight="15" x14ac:dyDescent="0.2"/>
  <cols>
    <col min="1" max="1" width="23.9453125" bestFit="1" customWidth="1"/>
    <col min="2" max="2" width="16.27734375" bestFit="1" customWidth="1"/>
    <col min="3" max="4" width="6.859375" bestFit="1" customWidth="1"/>
    <col min="5" max="5" width="6.72265625" bestFit="1" customWidth="1"/>
    <col min="6" max="6" width="9.68359375" bestFit="1" customWidth="1"/>
    <col min="7" max="7" width="9.81640625" bestFit="1" customWidth="1"/>
    <col min="8" max="8" width="11.296875" bestFit="1" customWidth="1"/>
    <col min="9" max="9" width="6.859375" bestFit="1" customWidth="1"/>
    <col min="10" max="10" width="9.81640625" bestFit="1" customWidth="1"/>
    <col min="11" max="11" width="11.296875" bestFit="1"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CDE1-C267-49A3-AF02-98DF0AA8D726}">
  <sheetPr>
    <tabColor theme="5" tint="-0.499984740745262"/>
  </sheetPr>
  <dimension ref="A1:AB685"/>
  <sheetViews>
    <sheetView showGridLines="0" showRowColHeaders="0" zoomScale="44" zoomScaleNormal="44" workbookViewId="0">
      <pane xSplit="1" ySplit="13" topLeftCell="C14" activePane="bottomRight" state="frozen"/>
      <selection activeCell="F18" sqref="F18"/>
      <selection pane="bottomLeft" activeCell="F18" sqref="F18"/>
      <selection pane="topRight" activeCell="F18" sqref="F18"/>
      <selection pane="bottomRight" activeCell="F1" sqref="F1"/>
    </sheetView>
  </sheetViews>
  <sheetFormatPr defaultColWidth="9.14453125" defaultRowHeight="15" x14ac:dyDescent="0.2"/>
  <cols>
    <col min="1" max="1" width="17.62109375" style="53" customWidth="1"/>
    <col min="2" max="2" width="0" style="53" hidden="1" customWidth="1"/>
    <col min="3" max="3" width="8.875" style="53" bestFit="1" customWidth="1"/>
    <col min="4" max="4" width="24.48046875" style="53" bestFit="1" customWidth="1"/>
    <col min="5" max="5" width="37.125" style="53" customWidth="1"/>
    <col min="6" max="7" width="23.40625" style="53" bestFit="1" customWidth="1"/>
    <col min="8" max="8" width="30.265625" style="53" bestFit="1" customWidth="1"/>
    <col min="9" max="9" width="33.359375" style="53" bestFit="1" customWidth="1"/>
    <col min="10" max="10" width="20.984375" style="114" bestFit="1" customWidth="1"/>
    <col min="11" max="11" width="23.80859375" style="53" bestFit="1" customWidth="1"/>
    <col min="12" max="12" width="25.421875" style="53" customWidth="1"/>
    <col min="13" max="13" width="22.328125" style="114" bestFit="1" customWidth="1"/>
    <col min="14" max="14" width="22.05859375" style="53" bestFit="1" customWidth="1"/>
    <col min="15" max="15" width="14.52734375" style="53" customWidth="1"/>
    <col min="16" max="16" width="20.04296875" style="53" bestFit="1" customWidth="1"/>
    <col min="17" max="17" width="30.265625" style="53" bestFit="1" customWidth="1"/>
    <col min="18" max="18" width="11.8359375" style="53" bestFit="1" customWidth="1"/>
    <col min="19" max="19" width="11.296875" style="53" customWidth="1"/>
    <col min="20" max="20" width="27.3046875" style="53" bestFit="1" customWidth="1"/>
    <col min="21" max="21" width="27.3046875" style="53" customWidth="1"/>
    <col min="22" max="22" width="21.65625" style="53" customWidth="1"/>
    <col min="23" max="23" width="28.515625" style="63" bestFit="1" customWidth="1"/>
    <col min="24" max="24" width="20.3125" style="53" bestFit="1" customWidth="1"/>
    <col min="25" max="27" width="9.14453125" style="53"/>
    <col min="28" max="28" width="0" style="53" hidden="1" customWidth="1"/>
    <col min="29" max="16384" width="9.14453125" style="53"/>
  </cols>
  <sheetData>
    <row r="1" spans="1:28" x14ac:dyDescent="0.2">
      <c r="D1" s="52" t="str">
        <f>_xlfn.UNICHAR(127968) &amp;"  HOME"</f>
        <v>🏠  HOME</v>
      </c>
      <c r="E1" s="52" t="str">
        <f>_xlfn.UNICHAR(128209) &amp; " HEARING LOG"</f>
        <v>📑 HEARING LOG</v>
      </c>
      <c r="F1" s="52" t="str">
        <f>_xlfn.UNICHAR(128196)&amp;"   AUTO CAUSE LIST"</f>
        <v>📄   AUTO CAUSE LIST</v>
      </c>
      <c r="G1" s="52" t="str">
        <f>_xlfn.UNICHAR(8505) &amp; "   INSIGHTS"</f>
        <v>ℹ   INSIGHTS</v>
      </c>
      <c r="H1" s="113" t="str">
        <f>_xlfn.UNICHAR(128100)&amp; "  COUNSEL DIRECTORY"</f>
        <v>👤  COUNSEL DIRECTORY</v>
      </c>
      <c r="I1" s="214" t="str">
        <f>_xlfn.UNICHAR(9997) &amp; "     QUARTERLY REPORTS"</f>
        <v>✍     QUARTERLY REPORTS</v>
      </c>
      <c r="J1" s="53"/>
    </row>
    <row r="2" spans="1:28" x14ac:dyDescent="0.2">
      <c r="C2" s="55"/>
      <c r="D2" s="55"/>
      <c r="E2" s="55"/>
      <c r="F2" s="55"/>
      <c r="G2" s="55"/>
      <c r="H2" s="55"/>
      <c r="I2" s="55"/>
      <c r="J2" s="119"/>
      <c r="K2" s="64"/>
      <c r="L2" s="64"/>
      <c r="M2" s="115"/>
      <c r="N2" s="64"/>
      <c r="O2" s="64"/>
      <c r="P2" s="64"/>
      <c r="Q2" s="64"/>
      <c r="R2" s="64"/>
      <c r="S2" s="64"/>
      <c r="T2" s="64"/>
      <c r="U2" s="64"/>
      <c r="V2" s="64"/>
      <c r="W2" s="65"/>
      <c r="X2" s="64"/>
      <c r="Y2" s="66"/>
    </row>
    <row r="3" spans="1:28" x14ac:dyDescent="0.2">
      <c r="C3" s="55"/>
      <c r="D3" s="55"/>
      <c r="E3" s="55"/>
      <c r="F3" s="55"/>
      <c r="G3" s="55"/>
      <c r="H3" s="55"/>
      <c r="I3" s="55"/>
      <c r="J3" s="119"/>
      <c r="K3" s="64"/>
      <c r="L3" s="64"/>
      <c r="M3" s="115"/>
      <c r="N3" s="64"/>
      <c r="O3" s="64"/>
      <c r="P3" s="64"/>
      <c r="Q3" s="64"/>
      <c r="R3" s="64"/>
      <c r="S3" s="64"/>
      <c r="T3" s="64"/>
      <c r="U3" s="64"/>
      <c r="V3" s="64"/>
      <c r="W3" s="53"/>
      <c r="X3" s="212"/>
      <c r="Y3" s="66"/>
    </row>
    <row r="4" spans="1:28" x14ac:dyDescent="0.2">
      <c r="C4" s="55"/>
      <c r="D4" s="55"/>
      <c r="E4" s="55"/>
      <c r="F4" s="55"/>
      <c r="G4" s="55"/>
      <c r="H4" s="55"/>
      <c r="I4" s="55"/>
      <c r="J4" s="119"/>
      <c r="K4" s="64"/>
      <c r="L4" s="64"/>
      <c r="M4" s="115"/>
      <c r="N4" s="64"/>
      <c r="O4" s="64"/>
      <c r="P4" s="64"/>
      <c r="Q4" s="64"/>
      <c r="R4" s="64"/>
      <c r="S4" s="64"/>
      <c r="T4" s="64"/>
      <c r="U4" s="64"/>
      <c r="V4" s="64"/>
      <c r="W4" s="65"/>
      <c r="X4" s="64"/>
      <c r="Y4" s="66"/>
    </row>
    <row r="5" spans="1:28" x14ac:dyDescent="0.2">
      <c r="C5" s="55"/>
      <c r="D5" s="55"/>
      <c r="E5" s="55"/>
      <c r="F5" s="55"/>
      <c r="G5" s="55"/>
      <c r="H5" s="55"/>
      <c r="I5" s="55"/>
      <c r="J5" s="119"/>
      <c r="K5" s="64"/>
      <c r="L5" s="64"/>
      <c r="M5" s="115"/>
      <c r="N5" s="64"/>
      <c r="O5" s="64"/>
      <c r="P5" s="64"/>
      <c r="Q5" s="64"/>
      <c r="R5" s="64"/>
      <c r="S5" s="64"/>
      <c r="T5" s="64"/>
      <c r="U5" s="64"/>
      <c r="V5" s="68"/>
      <c r="W5" s="57"/>
      <c r="X5" s="64"/>
      <c r="Y5" s="66"/>
    </row>
    <row r="6" spans="1:28" x14ac:dyDescent="0.2">
      <c r="C6" s="55"/>
      <c r="D6" s="55"/>
      <c r="E6" s="55"/>
      <c r="F6" s="55"/>
      <c r="G6" s="55"/>
      <c r="H6" s="55"/>
      <c r="I6" s="55"/>
      <c r="J6" s="119"/>
      <c r="K6" s="64"/>
      <c r="L6" s="64"/>
      <c r="M6" s="115"/>
      <c r="N6" s="64"/>
      <c r="O6" s="64"/>
      <c r="P6" s="64"/>
      <c r="Q6" s="64"/>
      <c r="R6" s="64"/>
      <c r="S6" s="64"/>
      <c r="T6" s="70"/>
      <c r="U6" s="70"/>
      <c r="V6" s="71"/>
      <c r="W6" s="65"/>
      <c r="X6" s="64"/>
      <c r="Y6" s="66"/>
    </row>
    <row r="7" spans="1:28" x14ac:dyDescent="0.2">
      <c r="C7" s="55"/>
      <c r="D7" s="55"/>
      <c r="E7" s="55"/>
      <c r="F7" s="55"/>
      <c r="G7" s="55"/>
      <c r="H7" s="55"/>
      <c r="I7" s="55"/>
      <c r="J7" s="119"/>
      <c r="K7" s="73"/>
      <c r="L7" s="73"/>
      <c r="M7" s="116"/>
      <c r="N7" s="73"/>
      <c r="O7" s="73"/>
      <c r="P7" s="73"/>
      <c r="Q7" s="73"/>
      <c r="R7" s="64"/>
      <c r="S7" s="70"/>
      <c r="T7" s="74"/>
      <c r="U7" s="74"/>
      <c r="V7" s="68"/>
      <c r="W7" s="53"/>
      <c r="X7" s="1"/>
      <c r="Y7" s="66"/>
    </row>
    <row r="8" spans="1:28" x14ac:dyDescent="0.2">
      <c r="A8" s="212"/>
      <c r="C8" s="55"/>
      <c r="D8" s="55"/>
      <c r="E8" s="55"/>
      <c r="F8" s="55"/>
      <c r="G8" s="55"/>
      <c r="H8" s="55"/>
      <c r="I8" s="55"/>
      <c r="J8" s="119"/>
      <c r="K8" s="75"/>
      <c r="L8" s="75"/>
      <c r="M8" s="117"/>
      <c r="N8" s="75"/>
      <c r="O8" s="73"/>
      <c r="P8" s="73"/>
      <c r="Q8" s="73"/>
      <c r="R8" s="70"/>
      <c r="S8" s="76"/>
      <c r="T8" s="70"/>
      <c r="U8" s="70"/>
      <c r="V8" s="73"/>
      <c r="W8" s="65"/>
      <c r="X8" s="64"/>
      <c r="Y8" s="66"/>
    </row>
    <row r="9" spans="1:28" x14ac:dyDescent="0.2">
      <c r="A9" s="259"/>
      <c r="C9" s="55"/>
      <c r="D9" s="55"/>
      <c r="E9" s="55"/>
      <c r="F9" s="55"/>
      <c r="G9" s="55"/>
      <c r="H9" s="55"/>
      <c r="I9" s="55"/>
      <c r="J9" s="119"/>
      <c r="K9" s="75"/>
      <c r="L9" s="75"/>
      <c r="M9" s="117"/>
      <c r="N9" s="75"/>
      <c r="O9" s="75"/>
      <c r="P9" s="75"/>
      <c r="Q9" s="77"/>
      <c r="R9" s="72"/>
      <c r="S9" s="70"/>
      <c r="T9" s="75"/>
      <c r="U9" s="75"/>
      <c r="V9" s="68"/>
      <c r="W9" s="53"/>
      <c r="X9" s="73"/>
      <c r="Y9" s="66"/>
    </row>
    <row r="10" spans="1:28" x14ac:dyDescent="0.2">
      <c r="A10" s="258"/>
      <c r="C10" s="55"/>
      <c r="D10" s="55"/>
      <c r="E10" s="55"/>
      <c r="F10" s="55"/>
      <c r="G10" s="55"/>
      <c r="H10" s="55"/>
      <c r="I10" s="55"/>
      <c r="J10" s="119"/>
      <c r="K10" s="78"/>
      <c r="L10" s="78"/>
      <c r="M10" s="118"/>
      <c r="N10" s="78"/>
      <c r="O10" s="78"/>
      <c r="P10" s="78"/>
      <c r="Q10" s="79"/>
      <c r="R10" s="70"/>
      <c r="S10" s="80"/>
      <c r="T10" s="70"/>
      <c r="U10" s="70"/>
      <c r="V10" s="80"/>
      <c r="W10" s="65"/>
      <c r="X10" s="80"/>
      <c r="Y10" s="66"/>
    </row>
    <row r="11" spans="1:28" x14ac:dyDescent="0.2">
      <c r="A11" s="257"/>
      <c r="C11" s="55"/>
      <c r="D11" s="55"/>
      <c r="E11" s="55"/>
      <c r="F11" s="55"/>
      <c r="G11" s="55"/>
      <c r="H11" s="55"/>
      <c r="I11" s="55"/>
      <c r="J11" s="119"/>
      <c r="K11" s="78"/>
      <c r="L11" s="78"/>
      <c r="M11" s="118"/>
      <c r="N11" s="78"/>
      <c r="O11" s="78"/>
      <c r="P11" s="67"/>
      <c r="Q11" s="77"/>
      <c r="R11" s="78"/>
      <c r="S11" s="77"/>
      <c r="T11" s="80"/>
      <c r="U11" s="80"/>
      <c r="V11" s="68"/>
      <c r="W11" s="53"/>
      <c r="X11" s="1"/>
      <c r="Y11" s="66"/>
      <c r="AB11" s="53" t="str" cm="1">
        <f t="array" ref="AB11:AB13">HCT6_CR[[#All],[SUIT NUMBER]]</f>
        <v>SUIT NUMBER</v>
      </c>
    </row>
    <row r="12" spans="1:28" x14ac:dyDescent="0.2">
      <c r="A12" s="262"/>
      <c r="C12" s="55"/>
      <c r="D12" s="55"/>
      <c r="E12" s="55"/>
      <c r="F12" s="55"/>
      <c r="G12" s="55"/>
      <c r="H12" s="55"/>
      <c r="I12" s="55"/>
      <c r="J12" s="119"/>
      <c r="K12" s="55"/>
      <c r="L12" s="55"/>
      <c r="M12" s="119"/>
      <c r="N12" s="55"/>
      <c r="O12" s="57"/>
      <c r="P12" s="81"/>
      <c r="Q12" s="55"/>
      <c r="R12" s="70"/>
      <c r="S12" s="55"/>
      <c r="T12" s="70"/>
      <c r="U12" s="70"/>
      <c r="V12" s="55"/>
      <c r="W12" s="65"/>
      <c r="X12" s="55"/>
      <c r="Y12" s="66"/>
      <c r="AB12" s="53">
        <v>0</v>
      </c>
    </row>
    <row r="13" spans="1:28" ht="18.75" thickBot="1" x14ac:dyDescent="0.3">
      <c r="A13" s="261"/>
      <c r="C13" s="82" t="s">
        <v>0</v>
      </c>
      <c r="D13" s="82" t="s">
        <v>8</v>
      </c>
      <c r="E13" s="82" t="s">
        <v>2</v>
      </c>
      <c r="F13" s="82" t="s">
        <v>9</v>
      </c>
      <c r="G13" s="82" t="s">
        <v>10</v>
      </c>
      <c r="H13" s="82" t="s">
        <v>230</v>
      </c>
      <c r="I13" s="82" t="s">
        <v>3</v>
      </c>
      <c r="J13" s="120" t="s">
        <v>11</v>
      </c>
      <c r="K13" s="82" t="s">
        <v>12</v>
      </c>
      <c r="L13" s="82" t="s">
        <v>4</v>
      </c>
      <c r="M13" s="120" t="s">
        <v>17</v>
      </c>
      <c r="N13" s="82" t="s">
        <v>18</v>
      </c>
      <c r="O13" s="82" t="s">
        <v>13</v>
      </c>
      <c r="P13" s="82" t="s">
        <v>262</v>
      </c>
      <c r="Q13" s="82" t="s">
        <v>304</v>
      </c>
      <c r="R13" s="82" t="s">
        <v>14</v>
      </c>
      <c r="S13" s="82" t="s">
        <v>15</v>
      </c>
      <c r="T13" s="82" t="s">
        <v>228</v>
      </c>
      <c r="U13" s="82" t="s">
        <v>390</v>
      </c>
      <c r="V13" s="82" t="s">
        <v>16</v>
      </c>
      <c r="W13" s="83" t="s">
        <v>229</v>
      </c>
      <c r="X13" s="82" t="s">
        <v>340</v>
      </c>
      <c r="Y13" s="66"/>
      <c r="AB13" s="53">
        <v>0</v>
      </c>
    </row>
    <row r="14" spans="1:28" ht="20.25" thickTop="1" thickBot="1" x14ac:dyDescent="0.3">
      <c r="A14" s="212"/>
      <c r="C14" s="84" t="str" cm="1">
        <f t="array" ref="C14">IF(HCT6_CR[[#This Row],[SUIT NUMBER]]="","",ROW()-ROW(HCT6_CR[#Headers]))</f>
        <v/>
      </c>
      <c r="D14" s="210"/>
      <c r="E14" s="210"/>
      <c r="F14" s="210"/>
      <c r="G14" s="210"/>
      <c r="H14" s="210"/>
      <c r="I14" s="210"/>
      <c r="J14" s="243"/>
      <c r="K14" s="248"/>
      <c r="L14" s="210"/>
      <c r="M14" s="243"/>
      <c r="N14" s="248"/>
      <c r="O14" s="244"/>
      <c r="P14" s="244"/>
      <c r="Q14" s="244"/>
      <c r="R14" s="210"/>
      <c r="S14" s="98"/>
      <c r="T14" s="245" t="str">
        <f ca="1">IF(HCT6_CR[[#This Row],[DATE FILED]]="","",ROUND(_xlfn.DAYS(TODAY(),HCT6_CR[[#This Row],[DATE FILED]])/365,1))</f>
        <v/>
      </c>
      <c r="U14" s="255" t="str">
        <f ca="1">IF(HCT6_CR[[#This Row],[DATE FILED]]="","",
      _xlfn.LET(
              _xlpm.y, DATEDIF(HCT6_CR[[#This Row],[DATE FILED]],TODAY(),"y"),
              _xlpm.m, DATEDIF(HCT6_CR[[#This Row],[DATE FILED]],TODAY(), "ym"),
              _xlpm.y &amp; "  Year" &amp; IF(_xlpm.y=1, "","s") &amp; " " &amp; _xlpm.m &amp;" Month" &amp; IF(_xlpm.m=1, "", "s")
    )
)</f>
        <v/>
      </c>
      <c r="V14" s="246"/>
      <c r="W14" s="145" t="str">
        <f>IF(HCT6_CR[[#This Row],[DATE FILED]]="","",IF(HCT6_CR[[#This Row],[DATE CONCLUDED]]="","ON GOING",DATEDIF(HCT6_CR[[#This Row],[DATE FILED]],HCT6_CR[[#This Row],[DATE CONCLUDED]],"Y")))</f>
        <v/>
      </c>
      <c r="X14" s="210">
        <f>IFERROR(AVERAGEIFS(HCT6_CR[[#This Row],[CURRENT AGE OF CASE]],HCT6_CR[[#This Row],[STATUS]],"ACTIVE",HCT6_CR[[#This Row],[CURRENT AGE OF CASE]],"&gt;0"),0)</f>
        <v>0</v>
      </c>
      <c r="Y14" s="66"/>
    </row>
    <row r="15" spans="1:28" ht="19.5" thickTop="1" x14ac:dyDescent="0.25">
      <c r="A15" s="263"/>
      <c r="C15" s="84" t="str" cm="1">
        <f t="array" ref="C15">IF(HCT6_CR[[#This Row],[SUIT NUMBER]]="","",ROW()-ROW(HCT6_CR[#Headers]))</f>
        <v/>
      </c>
      <c r="D15" s="210"/>
      <c r="E15" s="210"/>
      <c r="F15" s="210"/>
      <c r="G15" s="210"/>
      <c r="H15" s="210"/>
      <c r="I15" s="210"/>
      <c r="J15" s="243"/>
      <c r="K15" s="248"/>
      <c r="L15" s="210"/>
      <c r="M15" s="243"/>
      <c r="N15" s="248"/>
      <c r="O15" s="244"/>
      <c r="P15" s="244"/>
      <c r="Q15" s="244"/>
      <c r="R15" s="210"/>
      <c r="S15" s="98"/>
      <c r="T15" s="245" t="str">
        <f ca="1">IF(HCT6_CR[[#This Row],[DATE FILED]]="","",ROUND(_xlfn.DAYS(TODAY(),HCT6_CR[[#This Row],[DATE FILED]])/365,1))</f>
        <v/>
      </c>
      <c r="U15" s="250" t="str">
        <f ca="1">IF(HCT6_CR[[#This Row],[DATE FILED]]="","",
      _xlfn.LET(
              _xlpm.y, DATEDIF(HCT6_CR[[#This Row],[DATE FILED]],TODAY(),"y"),
              _xlpm.m, DATEDIF(HCT6_CR[[#This Row],[DATE FILED]],TODAY(), "ym"),
              _xlpm.y &amp; "  Year" &amp; IF(_xlpm.y=1, "","s") &amp; " " &amp; _xlpm.m &amp;" Month" &amp; IF(_xlpm.m=1, "", "s")
    )
)</f>
        <v/>
      </c>
      <c r="V15" s="210"/>
      <c r="W15" s="251" t="str">
        <f>IF(HCT6_CR[[#This Row],[DATE FILED]]="","",IF(HCT6_CR[[#This Row],[DATE CONCLUDED]]="","ON GOING",DATEDIF(HCT6_CR[[#This Row],[DATE FILED]],HCT6_CR[[#This Row],[DATE CONCLUDED]],"Y")))</f>
        <v/>
      </c>
      <c r="X15" s="252">
        <f>IFERROR(AVERAGEIFS(HCT6_CR[[#This Row],[CURRENT AGE OF CASE]],HCT6_CR[[#This Row],[STATUS]],"ACTIVE",HCT6_CR[[#This Row],[CURRENT AGE OF CASE]],"&gt;0"),0)</f>
        <v>0</v>
      </c>
      <c r="Y15" s="66"/>
    </row>
    <row r="16" spans="1:28" x14ac:dyDescent="0.2">
      <c r="A16" s="264"/>
    </row>
    <row r="17" spans="1:1" x14ac:dyDescent="0.2">
      <c r="A17" s="259"/>
    </row>
    <row r="18" spans="1:1" x14ac:dyDescent="0.2">
      <c r="A18" s="258"/>
    </row>
    <row r="19" spans="1:1" x14ac:dyDescent="0.2">
      <c r="A19" s="257"/>
    </row>
    <row r="20" spans="1:1" x14ac:dyDescent="0.2">
      <c r="A20" s="263"/>
    </row>
    <row r="21" spans="1:1" x14ac:dyDescent="0.2">
      <c r="A21" s="264"/>
    </row>
    <row r="22" spans="1:1" x14ac:dyDescent="0.2">
      <c r="A22" s="259"/>
    </row>
    <row r="23" spans="1:1" x14ac:dyDescent="0.2">
      <c r="A23" s="258"/>
    </row>
    <row r="24" spans="1:1" x14ac:dyDescent="0.2">
      <c r="A24" s="257"/>
    </row>
    <row r="25" spans="1:1" x14ac:dyDescent="0.2">
      <c r="A25" s="263"/>
    </row>
    <row r="26" spans="1:1" x14ac:dyDescent="0.2">
      <c r="A26" s="264"/>
    </row>
    <row r="27" spans="1:1" x14ac:dyDescent="0.2">
      <c r="A27" s="259"/>
    </row>
    <row r="28" spans="1:1" x14ac:dyDescent="0.2">
      <c r="A28" s="258"/>
    </row>
    <row r="29" spans="1:1" x14ac:dyDescent="0.2">
      <c r="A29" s="257"/>
    </row>
    <row r="30" spans="1:1" x14ac:dyDescent="0.2">
      <c r="A30" s="263"/>
    </row>
    <row r="31" spans="1:1" x14ac:dyDescent="0.2">
      <c r="A31" s="264"/>
    </row>
    <row r="32" spans="1:1" x14ac:dyDescent="0.2">
      <c r="A32" s="259"/>
    </row>
    <row r="33" spans="1:1" x14ac:dyDescent="0.2">
      <c r="A33" s="258"/>
    </row>
    <row r="34" spans="1:1" x14ac:dyDescent="0.2">
      <c r="A34" s="257"/>
    </row>
    <row r="36" spans="1:1" x14ac:dyDescent="0.2">
      <c r="A36" s="263"/>
    </row>
    <row r="37" spans="1:1" x14ac:dyDescent="0.2">
      <c r="A37" s="264"/>
    </row>
    <row r="38" spans="1:1" x14ac:dyDescent="0.2">
      <c r="A38" s="259"/>
    </row>
    <row r="39" spans="1:1" x14ac:dyDescent="0.2">
      <c r="A39" s="258"/>
    </row>
    <row r="40" spans="1:1" x14ac:dyDescent="0.2">
      <c r="A40" s="257"/>
    </row>
    <row r="41" spans="1:1" x14ac:dyDescent="0.2">
      <c r="A41" s="263"/>
    </row>
    <row r="42" spans="1:1" x14ac:dyDescent="0.2">
      <c r="A42" s="264"/>
    </row>
    <row r="43" spans="1:1" x14ac:dyDescent="0.2">
      <c r="A43" s="259"/>
    </row>
    <row r="44" spans="1:1" x14ac:dyDescent="0.2">
      <c r="A44" s="258"/>
    </row>
    <row r="45" spans="1:1" x14ac:dyDescent="0.2">
      <c r="A45" s="257"/>
    </row>
    <row r="46" spans="1:1" x14ac:dyDescent="0.2">
      <c r="A46" s="263"/>
    </row>
    <row r="47" spans="1:1" x14ac:dyDescent="0.2">
      <c r="A47" s="264"/>
    </row>
    <row r="48" spans="1:1" x14ac:dyDescent="0.2">
      <c r="A48" s="259"/>
    </row>
    <row r="49" spans="1:1" x14ac:dyDescent="0.2">
      <c r="A49" s="258"/>
    </row>
    <row r="50" spans="1:1" x14ac:dyDescent="0.2">
      <c r="A50" s="257"/>
    </row>
    <row r="51" spans="1:1" x14ac:dyDescent="0.2">
      <c r="A51" s="263"/>
    </row>
    <row r="52" spans="1:1" x14ac:dyDescent="0.2">
      <c r="A52" s="264"/>
    </row>
    <row r="53" spans="1:1" x14ac:dyDescent="0.2">
      <c r="A53" s="259"/>
    </row>
    <row r="54" spans="1:1" x14ac:dyDescent="0.2">
      <c r="A54" s="258"/>
    </row>
    <row r="55" spans="1:1" x14ac:dyDescent="0.2">
      <c r="A55" s="257"/>
    </row>
    <row r="57" spans="1:1" x14ac:dyDescent="0.2">
      <c r="A57" s="263"/>
    </row>
    <row r="58" spans="1:1" x14ac:dyDescent="0.2">
      <c r="A58" s="264"/>
    </row>
    <row r="59" spans="1:1" x14ac:dyDescent="0.2">
      <c r="A59" s="259"/>
    </row>
    <row r="60" spans="1:1" x14ac:dyDescent="0.2">
      <c r="A60" s="258"/>
    </row>
    <row r="61" spans="1:1" x14ac:dyDescent="0.2">
      <c r="A61" s="257"/>
    </row>
    <row r="62" spans="1:1" x14ac:dyDescent="0.2">
      <c r="A62" s="263"/>
    </row>
    <row r="63" spans="1:1" x14ac:dyDescent="0.2">
      <c r="A63" s="264"/>
    </row>
    <row r="64" spans="1:1" x14ac:dyDescent="0.2">
      <c r="A64" s="259"/>
    </row>
    <row r="65" spans="1:1" x14ac:dyDescent="0.2">
      <c r="A65" s="258"/>
    </row>
    <row r="66" spans="1:1" x14ac:dyDescent="0.2">
      <c r="A66" s="257"/>
    </row>
    <row r="67" spans="1:1" x14ac:dyDescent="0.2">
      <c r="A67" s="263"/>
    </row>
    <row r="68" spans="1:1" x14ac:dyDescent="0.2">
      <c r="A68" s="264"/>
    </row>
    <row r="69" spans="1:1" x14ac:dyDescent="0.2">
      <c r="A69" s="259"/>
    </row>
    <row r="70" spans="1:1" x14ac:dyDescent="0.2">
      <c r="A70" s="258"/>
    </row>
    <row r="71" spans="1:1" x14ac:dyDescent="0.2">
      <c r="A71" s="257"/>
    </row>
    <row r="72" spans="1:1" x14ac:dyDescent="0.2">
      <c r="A72" s="263"/>
    </row>
    <row r="73" spans="1:1" x14ac:dyDescent="0.2">
      <c r="A73" s="264"/>
    </row>
    <row r="74" spans="1:1" x14ac:dyDescent="0.2">
      <c r="A74" s="259"/>
    </row>
    <row r="75" spans="1:1" x14ac:dyDescent="0.2">
      <c r="A75" s="258"/>
    </row>
    <row r="76" spans="1:1" x14ac:dyDescent="0.2">
      <c r="A76" s="257"/>
    </row>
    <row r="78" spans="1:1" x14ac:dyDescent="0.2">
      <c r="A78" s="263"/>
    </row>
    <row r="79" spans="1:1" x14ac:dyDescent="0.2">
      <c r="A79" s="264"/>
    </row>
    <row r="80" spans="1:1" x14ac:dyDescent="0.2">
      <c r="A80" s="259"/>
    </row>
    <row r="81" spans="1:1" x14ac:dyDescent="0.2">
      <c r="A81" s="258"/>
    </row>
    <row r="82" spans="1:1" x14ac:dyDescent="0.2">
      <c r="A82" s="257"/>
    </row>
    <row r="83" spans="1:1" x14ac:dyDescent="0.2">
      <c r="A83" s="263"/>
    </row>
    <row r="84" spans="1:1" x14ac:dyDescent="0.2">
      <c r="A84" s="264"/>
    </row>
    <row r="85" spans="1:1" x14ac:dyDescent="0.2">
      <c r="A85" s="259"/>
    </row>
    <row r="86" spans="1:1" x14ac:dyDescent="0.2">
      <c r="A86" s="258"/>
    </row>
    <row r="87" spans="1:1" x14ac:dyDescent="0.2">
      <c r="A87" s="257"/>
    </row>
    <row r="88" spans="1:1" x14ac:dyDescent="0.2">
      <c r="A88" s="263"/>
    </row>
    <row r="89" spans="1:1" x14ac:dyDescent="0.2">
      <c r="A89" s="264"/>
    </row>
    <row r="90" spans="1:1" x14ac:dyDescent="0.2">
      <c r="A90" s="259"/>
    </row>
    <row r="91" spans="1:1" x14ac:dyDescent="0.2">
      <c r="A91" s="258"/>
    </row>
    <row r="92" spans="1:1" x14ac:dyDescent="0.2">
      <c r="A92" s="257"/>
    </row>
    <row r="93" spans="1:1" x14ac:dyDescent="0.2">
      <c r="A93" s="263"/>
    </row>
    <row r="94" spans="1:1" x14ac:dyDescent="0.2">
      <c r="A94" s="264"/>
    </row>
    <row r="95" spans="1:1" x14ac:dyDescent="0.2">
      <c r="A95" s="259"/>
    </row>
    <row r="96" spans="1:1" x14ac:dyDescent="0.2">
      <c r="A96" s="258"/>
    </row>
    <row r="97" spans="1:1" x14ac:dyDescent="0.2">
      <c r="A97" s="257"/>
    </row>
    <row r="99" spans="1:1" x14ac:dyDescent="0.2">
      <c r="A99" s="263"/>
    </row>
    <row r="100" spans="1:1" x14ac:dyDescent="0.2">
      <c r="A100" s="264"/>
    </row>
    <row r="101" spans="1:1" x14ac:dyDescent="0.2">
      <c r="A101" s="259"/>
    </row>
    <row r="102" spans="1:1" x14ac:dyDescent="0.2">
      <c r="A102" s="258"/>
    </row>
    <row r="103" spans="1:1" x14ac:dyDescent="0.2">
      <c r="A103" s="257"/>
    </row>
    <row r="104" spans="1:1" x14ac:dyDescent="0.2">
      <c r="A104" s="263"/>
    </row>
    <row r="105" spans="1:1" x14ac:dyDescent="0.2">
      <c r="A105" s="264"/>
    </row>
    <row r="106" spans="1:1" x14ac:dyDescent="0.2">
      <c r="A106" s="259"/>
    </row>
    <row r="107" spans="1:1" x14ac:dyDescent="0.2">
      <c r="A107" s="258"/>
    </row>
    <row r="108" spans="1:1" x14ac:dyDescent="0.2">
      <c r="A108" s="257"/>
    </row>
    <row r="109" spans="1:1" x14ac:dyDescent="0.2">
      <c r="A109" s="263"/>
    </row>
    <row r="110" spans="1:1" x14ac:dyDescent="0.2">
      <c r="A110" s="264"/>
    </row>
    <row r="111" spans="1:1" x14ac:dyDescent="0.2">
      <c r="A111" s="259"/>
    </row>
    <row r="112" spans="1:1" x14ac:dyDescent="0.2">
      <c r="A112" s="258"/>
    </row>
    <row r="113" spans="1:1" x14ac:dyDescent="0.2">
      <c r="A113" s="257"/>
    </row>
    <row r="114" spans="1:1" x14ac:dyDescent="0.2">
      <c r="A114" s="263"/>
    </row>
    <row r="115" spans="1:1" x14ac:dyDescent="0.2">
      <c r="A115" s="264"/>
    </row>
    <row r="116" spans="1:1" x14ac:dyDescent="0.2">
      <c r="A116" s="259"/>
    </row>
    <row r="117" spans="1:1" x14ac:dyDescent="0.2">
      <c r="A117" s="258"/>
    </row>
    <row r="118" spans="1:1" x14ac:dyDescent="0.2">
      <c r="A118" s="257"/>
    </row>
    <row r="120" spans="1:1" x14ac:dyDescent="0.2">
      <c r="A120" s="263"/>
    </row>
    <row r="121" spans="1:1" x14ac:dyDescent="0.2">
      <c r="A121" s="264"/>
    </row>
    <row r="122" spans="1:1" x14ac:dyDescent="0.2">
      <c r="A122" s="259"/>
    </row>
    <row r="123" spans="1:1" x14ac:dyDescent="0.2">
      <c r="A123" s="258"/>
    </row>
    <row r="124" spans="1:1" x14ac:dyDescent="0.2">
      <c r="A124" s="257"/>
    </row>
    <row r="125" spans="1:1" x14ac:dyDescent="0.2">
      <c r="A125" s="263"/>
    </row>
    <row r="126" spans="1:1" x14ac:dyDescent="0.2">
      <c r="A126" s="264"/>
    </row>
    <row r="127" spans="1:1" x14ac:dyDescent="0.2">
      <c r="A127" s="259"/>
    </row>
    <row r="128" spans="1:1" x14ac:dyDescent="0.2">
      <c r="A128" s="258"/>
    </row>
    <row r="129" spans="1:1" x14ac:dyDescent="0.2">
      <c r="A129" s="257"/>
    </row>
    <row r="130" spans="1:1" x14ac:dyDescent="0.2">
      <c r="A130" s="263"/>
    </row>
    <row r="131" spans="1:1" x14ac:dyDescent="0.2">
      <c r="A131" s="264"/>
    </row>
    <row r="132" spans="1:1" x14ac:dyDescent="0.2">
      <c r="A132" s="259"/>
    </row>
    <row r="133" spans="1:1" x14ac:dyDescent="0.2">
      <c r="A133" s="258"/>
    </row>
    <row r="134" spans="1:1" x14ac:dyDescent="0.2">
      <c r="A134" s="257"/>
    </row>
    <row r="135" spans="1:1" x14ac:dyDescent="0.2">
      <c r="A135" s="263"/>
    </row>
    <row r="136" spans="1:1" x14ac:dyDescent="0.2">
      <c r="A136" s="264"/>
    </row>
    <row r="137" spans="1:1" x14ac:dyDescent="0.2">
      <c r="A137" s="259"/>
    </row>
    <row r="138" spans="1:1" x14ac:dyDescent="0.2">
      <c r="A138" s="258"/>
    </row>
    <row r="139" spans="1:1" x14ac:dyDescent="0.2">
      <c r="A139" s="257"/>
    </row>
    <row r="141" spans="1:1" x14ac:dyDescent="0.2">
      <c r="A141" s="263"/>
    </row>
    <row r="142" spans="1:1" x14ac:dyDescent="0.2">
      <c r="A142" s="264"/>
    </row>
    <row r="143" spans="1:1" x14ac:dyDescent="0.2">
      <c r="A143" s="259"/>
    </row>
    <row r="144" spans="1:1" x14ac:dyDescent="0.2">
      <c r="A144" s="258"/>
    </row>
    <row r="145" spans="1:1" x14ac:dyDescent="0.2">
      <c r="A145" s="257"/>
    </row>
    <row r="146" spans="1:1" x14ac:dyDescent="0.2">
      <c r="A146" s="263"/>
    </row>
    <row r="147" spans="1:1" x14ac:dyDescent="0.2">
      <c r="A147" s="264"/>
    </row>
    <row r="148" spans="1:1" x14ac:dyDescent="0.2">
      <c r="A148" s="259"/>
    </row>
    <row r="149" spans="1:1" x14ac:dyDescent="0.2">
      <c r="A149" s="258"/>
    </row>
    <row r="150" spans="1:1" x14ac:dyDescent="0.2">
      <c r="A150" s="257"/>
    </row>
    <row r="151" spans="1:1" x14ac:dyDescent="0.2">
      <c r="A151" s="263"/>
    </row>
    <row r="152" spans="1:1" x14ac:dyDescent="0.2">
      <c r="A152" s="264"/>
    </row>
    <row r="153" spans="1:1" x14ac:dyDescent="0.2">
      <c r="A153" s="259"/>
    </row>
    <row r="154" spans="1:1" x14ac:dyDescent="0.2">
      <c r="A154" s="258"/>
    </row>
    <row r="155" spans="1:1" x14ac:dyDescent="0.2">
      <c r="A155" s="257"/>
    </row>
    <row r="156" spans="1:1" x14ac:dyDescent="0.2">
      <c r="A156" s="263"/>
    </row>
    <row r="157" spans="1:1" x14ac:dyDescent="0.2">
      <c r="A157" s="264"/>
    </row>
    <row r="158" spans="1:1" x14ac:dyDescent="0.2">
      <c r="A158" s="259"/>
    </row>
    <row r="159" spans="1:1" x14ac:dyDescent="0.2">
      <c r="A159" s="258"/>
    </row>
    <row r="160" spans="1:1" x14ac:dyDescent="0.2">
      <c r="A160" s="257"/>
    </row>
    <row r="162" spans="1:1" x14ac:dyDescent="0.2">
      <c r="A162" s="263"/>
    </row>
    <row r="163" spans="1:1" x14ac:dyDescent="0.2">
      <c r="A163" s="264"/>
    </row>
    <row r="164" spans="1:1" x14ac:dyDescent="0.2">
      <c r="A164" s="259"/>
    </row>
    <row r="165" spans="1:1" x14ac:dyDescent="0.2">
      <c r="A165" s="258"/>
    </row>
    <row r="166" spans="1:1" x14ac:dyDescent="0.2">
      <c r="A166" s="257"/>
    </row>
    <row r="167" spans="1:1" x14ac:dyDescent="0.2">
      <c r="A167" s="263"/>
    </row>
    <row r="168" spans="1:1" x14ac:dyDescent="0.2">
      <c r="A168" s="264"/>
    </row>
    <row r="169" spans="1:1" x14ac:dyDescent="0.2">
      <c r="A169" s="259"/>
    </row>
    <row r="170" spans="1:1" x14ac:dyDescent="0.2">
      <c r="A170" s="258"/>
    </row>
    <row r="171" spans="1:1" x14ac:dyDescent="0.2">
      <c r="A171" s="257"/>
    </row>
    <row r="172" spans="1:1" x14ac:dyDescent="0.2">
      <c r="A172" s="263"/>
    </row>
    <row r="173" spans="1:1" x14ac:dyDescent="0.2">
      <c r="A173" s="264"/>
    </row>
    <row r="174" spans="1:1" x14ac:dyDescent="0.2">
      <c r="A174" s="259"/>
    </row>
    <row r="175" spans="1:1" x14ac:dyDescent="0.2">
      <c r="A175" s="258"/>
    </row>
    <row r="176" spans="1:1" x14ac:dyDescent="0.2">
      <c r="A176" s="257"/>
    </row>
    <row r="177" spans="1:1" x14ac:dyDescent="0.2">
      <c r="A177" s="263"/>
    </row>
    <row r="178" spans="1:1" x14ac:dyDescent="0.2">
      <c r="A178" s="264"/>
    </row>
    <row r="179" spans="1:1" x14ac:dyDescent="0.2">
      <c r="A179" s="259"/>
    </row>
    <row r="180" spans="1:1" x14ac:dyDescent="0.2">
      <c r="A180" s="258"/>
    </row>
    <row r="181" spans="1:1" x14ac:dyDescent="0.2">
      <c r="A181" s="257"/>
    </row>
    <row r="183" spans="1:1" x14ac:dyDescent="0.2">
      <c r="A183" s="263"/>
    </row>
    <row r="184" spans="1:1" x14ac:dyDescent="0.2">
      <c r="A184" s="264"/>
    </row>
    <row r="185" spans="1:1" x14ac:dyDescent="0.2">
      <c r="A185" s="259"/>
    </row>
    <row r="186" spans="1:1" x14ac:dyDescent="0.2">
      <c r="A186" s="258"/>
    </row>
    <row r="187" spans="1:1" x14ac:dyDescent="0.2">
      <c r="A187" s="257"/>
    </row>
    <row r="188" spans="1:1" x14ac:dyDescent="0.2">
      <c r="A188" s="263"/>
    </row>
    <row r="189" spans="1:1" x14ac:dyDescent="0.2">
      <c r="A189" s="264"/>
    </row>
    <row r="190" spans="1:1" x14ac:dyDescent="0.2">
      <c r="A190" s="259"/>
    </row>
    <row r="191" spans="1:1" x14ac:dyDescent="0.2">
      <c r="A191" s="258"/>
    </row>
    <row r="192" spans="1:1" x14ac:dyDescent="0.2">
      <c r="A192" s="257"/>
    </row>
    <row r="193" spans="1:1" x14ac:dyDescent="0.2">
      <c r="A193" s="263"/>
    </row>
    <row r="194" spans="1:1" x14ac:dyDescent="0.2">
      <c r="A194" s="264"/>
    </row>
    <row r="195" spans="1:1" x14ac:dyDescent="0.2">
      <c r="A195" s="259"/>
    </row>
    <row r="196" spans="1:1" x14ac:dyDescent="0.2">
      <c r="A196" s="258"/>
    </row>
    <row r="197" spans="1:1" x14ac:dyDescent="0.2">
      <c r="A197" s="257"/>
    </row>
    <row r="198" spans="1:1" x14ac:dyDescent="0.2">
      <c r="A198" s="263"/>
    </row>
    <row r="199" spans="1:1" x14ac:dyDescent="0.2">
      <c r="A199" s="264"/>
    </row>
    <row r="200" spans="1:1" x14ac:dyDescent="0.2">
      <c r="A200" s="259"/>
    </row>
    <row r="201" spans="1:1" x14ac:dyDescent="0.2">
      <c r="A201" s="258"/>
    </row>
    <row r="202" spans="1:1" x14ac:dyDescent="0.2">
      <c r="A202" s="257"/>
    </row>
    <row r="204" spans="1:1" x14ac:dyDescent="0.2">
      <c r="A204" s="263"/>
    </row>
    <row r="205" spans="1:1" x14ac:dyDescent="0.2">
      <c r="A205" s="264"/>
    </row>
    <row r="206" spans="1:1" x14ac:dyDescent="0.2">
      <c r="A206" s="259"/>
    </row>
    <row r="207" spans="1:1" x14ac:dyDescent="0.2">
      <c r="A207" s="258"/>
    </row>
    <row r="208" spans="1:1" x14ac:dyDescent="0.2">
      <c r="A208" s="257"/>
    </row>
    <row r="209" spans="1:1" x14ac:dyDescent="0.2">
      <c r="A209" s="263"/>
    </row>
    <row r="210" spans="1:1" x14ac:dyDescent="0.2">
      <c r="A210" s="264"/>
    </row>
    <row r="211" spans="1:1" x14ac:dyDescent="0.2">
      <c r="A211" s="259"/>
    </row>
    <row r="212" spans="1:1" x14ac:dyDescent="0.2">
      <c r="A212" s="258"/>
    </row>
    <row r="213" spans="1:1" x14ac:dyDescent="0.2">
      <c r="A213" s="257"/>
    </row>
    <row r="214" spans="1:1" x14ac:dyDescent="0.2">
      <c r="A214" s="263"/>
    </row>
    <row r="215" spans="1:1" x14ac:dyDescent="0.2">
      <c r="A215" s="264"/>
    </row>
    <row r="216" spans="1:1" x14ac:dyDescent="0.2">
      <c r="A216" s="259"/>
    </row>
    <row r="217" spans="1:1" x14ac:dyDescent="0.2">
      <c r="A217" s="258"/>
    </row>
    <row r="218" spans="1:1" x14ac:dyDescent="0.2">
      <c r="A218" s="257"/>
    </row>
    <row r="219" spans="1:1" x14ac:dyDescent="0.2">
      <c r="A219" s="263"/>
    </row>
    <row r="220" spans="1:1" x14ac:dyDescent="0.2">
      <c r="A220" s="264"/>
    </row>
    <row r="221" spans="1:1" x14ac:dyDescent="0.2">
      <c r="A221" s="259"/>
    </row>
    <row r="222" spans="1:1" x14ac:dyDescent="0.2">
      <c r="A222" s="258"/>
    </row>
    <row r="223" spans="1:1" x14ac:dyDescent="0.2">
      <c r="A223" s="257"/>
    </row>
    <row r="225" spans="1:1" x14ac:dyDescent="0.2">
      <c r="A225" s="263"/>
    </row>
    <row r="226" spans="1:1" x14ac:dyDescent="0.2">
      <c r="A226" s="264"/>
    </row>
    <row r="227" spans="1:1" x14ac:dyDescent="0.2">
      <c r="A227" s="259"/>
    </row>
    <row r="228" spans="1:1" x14ac:dyDescent="0.2">
      <c r="A228" s="258"/>
    </row>
    <row r="229" spans="1:1" x14ac:dyDescent="0.2">
      <c r="A229" s="257"/>
    </row>
    <row r="230" spans="1:1" x14ac:dyDescent="0.2">
      <c r="A230" s="263"/>
    </row>
    <row r="231" spans="1:1" x14ac:dyDescent="0.2">
      <c r="A231" s="264"/>
    </row>
    <row r="232" spans="1:1" x14ac:dyDescent="0.2">
      <c r="A232" s="259"/>
    </row>
    <row r="233" spans="1:1" x14ac:dyDescent="0.2">
      <c r="A233" s="258"/>
    </row>
    <row r="234" spans="1:1" x14ac:dyDescent="0.2">
      <c r="A234" s="257"/>
    </row>
    <row r="235" spans="1:1" x14ac:dyDescent="0.2">
      <c r="A235" s="263"/>
    </row>
    <row r="236" spans="1:1" x14ac:dyDescent="0.2">
      <c r="A236" s="264"/>
    </row>
    <row r="237" spans="1:1" x14ac:dyDescent="0.2">
      <c r="A237" s="259"/>
    </row>
    <row r="238" spans="1:1" x14ac:dyDescent="0.2">
      <c r="A238" s="258"/>
    </row>
    <row r="239" spans="1:1" x14ac:dyDescent="0.2">
      <c r="A239" s="257"/>
    </row>
    <row r="240" spans="1:1" x14ac:dyDescent="0.2">
      <c r="A240" s="263"/>
    </row>
    <row r="241" spans="1:1" x14ac:dyDescent="0.2">
      <c r="A241" s="264"/>
    </row>
    <row r="242" spans="1:1" x14ac:dyDescent="0.2">
      <c r="A242" s="259"/>
    </row>
    <row r="243" spans="1:1" x14ac:dyDescent="0.2">
      <c r="A243" s="258"/>
    </row>
    <row r="244" spans="1:1" x14ac:dyDescent="0.2">
      <c r="A244" s="257"/>
    </row>
    <row r="246" spans="1:1" x14ac:dyDescent="0.2">
      <c r="A246" s="263"/>
    </row>
    <row r="247" spans="1:1" x14ac:dyDescent="0.2">
      <c r="A247" s="264"/>
    </row>
    <row r="248" spans="1:1" x14ac:dyDescent="0.2">
      <c r="A248" s="259"/>
    </row>
    <row r="249" spans="1:1" x14ac:dyDescent="0.2">
      <c r="A249" s="258"/>
    </row>
    <row r="250" spans="1:1" x14ac:dyDescent="0.2">
      <c r="A250" s="257"/>
    </row>
    <row r="251" spans="1:1" x14ac:dyDescent="0.2">
      <c r="A251" s="263"/>
    </row>
    <row r="252" spans="1:1" x14ac:dyDescent="0.2">
      <c r="A252" s="264"/>
    </row>
    <row r="253" spans="1:1" x14ac:dyDescent="0.2">
      <c r="A253" s="259"/>
    </row>
    <row r="254" spans="1:1" x14ac:dyDescent="0.2">
      <c r="A254" s="258"/>
    </row>
    <row r="255" spans="1:1" x14ac:dyDescent="0.2">
      <c r="A255" s="257"/>
    </row>
    <row r="256" spans="1:1" x14ac:dyDescent="0.2">
      <c r="A256" s="263"/>
    </row>
    <row r="257" spans="1:1" x14ac:dyDescent="0.2">
      <c r="A257" s="264"/>
    </row>
    <row r="258" spans="1:1" x14ac:dyDescent="0.2">
      <c r="A258" s="259"/>
    </row>
    <row r="259" spans="1:1" x14ac:dyDescent="0.2">
      <c r="A259" s="258"/>
    </row>
    <row r="260" spans="1:1" x14ac:dyDescent="0.2">
      <c r="A260" s="257"/>
    </row>
    <row r="261" spans="1:1" x14ac:dyDescent="0.2">
      <c r="A261" s="263"/>
    </row>
    <row r="262" spans="1:1" x14ac:dyDescent="0.2">
      <c r="A262" s="264"/>
    </row>
    <row r="263" spans="1:1" x14ac:dyDescent="0.2">
      <c r="A263" s="259"/>
    </row>
    <row r="264" spans="1:1" x14ac:dyDescent="0.2">
      <c r="A264" s="258"/>
    </row>
    <row r="265" spans="1:1" x14ac:dyDescent="0.2">
      <c r="A265" s="257"/>
    </row>
    <row r="267" spans="1:1" x14ac:dyDescent="0.2">
      <c r="A267" s="263"/>
    </row>
    <row r="268" spans="1:1" x14ac:dyDescent="0.2">
      <c r="A268" s="264"/>
    </row>
    <row r="269" spans="1:1" x14ac:dyDescent="0.2">
      <c r="A269" s="259"/>
    </row>
    <row r="270" spans="1:1" x14ac:dyDescent="0.2">
      <c r="A270" s="258"/>
    </row>
    <row r="271" spans="1:1" x14ac:dyDescent="0.2">
      <c r="A271" s="257"/>
    </row>
    <row r="272" spans="1:1" x14ac:dyDescent="0.2">
      <c r="A272" s="263"/>
    </row>
    <row r="273" spans="1:1" x14ac:dyDescent="0.2">
      <c r="A273" s="264"/>
    </row>
    <row r="274" spans="1:1" x14ac:dyDescent="0.2">
      <c r="A274" s="259"/>
    </row>
    <row r="275" spans="1:1" x14ac:dyDescent="0.2">
      <c r="A275" s="258"/>
    </row>
    <row r="276" spans="1:1" x14ac:dyDescent="0.2">
      <c r="A276" s="257"/>
    </row>
    <row r="277" spans="1:1" x14ac:dyDescent="0.2">
      <c r="A277" s="263"/>
    </row>
    <row r="278" spans="1:1" x14ac:dyDescent="0.2">
      <c r="A278" s="264"/>
    </row>
    <row r="279" spans="1:1" x14ac:dyDescent="0.2">
      <c r="A279" s="259"/>
    </row>
    <row r="280" spans="1:1" x14ac:dyDescent="0.2">
      <c r="A280" s="258"/>
    </row>
    <row r="281" spans="1:1" x14ac:dyDescent="0.2">
      <c r="A281" s="257"/>
    </row>
    <row r="282" spans="1:1" x14ac:dyDescent="0.2">
      <c r="A282" s="263"/>
    </row>
    <row r="283" spans="1:1" x14ac:dyDescent="0.2">
      <c r="A283" s="264"/>
    </row>
    <row r="284" spans="1:1" x14ac:dyDescent="0.2">
      <c r="A284" s="259"/>
    </row>
    <row r="285" spans="1:1" x14ac:dyDescent="0.2">
      <c r="A285" s="258"/>
    </row>
    <row r="286" spans="1:1" x14ac:dyDescent="0.2">
      <c r="A286" s="257"/>
    </row>
    <row r="288" spans="1:1" x14ac:dyDescent="0.2">
      <c r="A288" s="263"/>
    </row>
    <row r="289" spans="1:1" x14ac:dyDescent="0.2">
      <c r="A289" s="264"/>
    </row>
    <row r="290" spans="1:1" x14ac:dyDescent="0.2">
      <c r="A290" s="259"/>
    </row>
    <row r="291" spans="1:1" x14ac:dyDescent="0.2">
      <c r="A291" s="258"/>
    </row>
    <row r="292" spans="1:1" x14ac:dyDescent="0.2">
      <c r="A292" s="257"/>
    </row>
    <row r="293" spans="1:1" x14ac:dyDescent="0.2">
      <c r="A293" s="263"/>
    </row>
    <row r="294" spans="1:1" x14ac:dyDescent="0.2">
      <c r="A294" s="264"/>
    </row>
    <row r="295" spans="1:1" x14ac:dyDescent="0.2">
      <c r="A295" s="259"/>
    </row>
    <row r="296" spans="1:1" x14ac:dyDescent="0.2">
      <c r="A296" s="258"/>
    </row>
    <row r="297" spans="1:1" x14ac:dyDescent="0.2">
      <c r="A297" s="257"/>
    </row>
    <row r="298" spans="1:1" x14ac:dyDescent="0.2">
      <c r="A298" s="263"/>
    </row>
    <row r="299" spans="1:1" x14ac:dyDescent="0.2">
      <c r="A299" s="264"/>
    </row>
    <row r="300" spans="1:1" x14ac:dyDescent="0.2">
      <c r="A300" s="259"/>
    </row>
    <row r="301" spans="1:1" x14ac:dyDescent="0.2">
      <c r="A301" s="258"/>
    </row>
    <row r="302" spans="1:1" x14ac:dyDescent="0.2">
      <c r="A302" s="257"/>
    </row>
    <row r="303" spans="1:1" x14ac:dyDescent="0.2">
      <c r="A303" s="263"/>
    </row>
    <row r="304" spans="1:1" x14ac:dyDescent="0.2">
      <c r="A304" s="264"/>
    </row>
    <row r="305" spans="1:1" x14ac:dyDescent="0.2">
      <c r="A305" s="259"/>
    </row>
    <row r="306" spans="1:1" x14ac:dyDescent="0.2">
      <c r="A306" s="258"/>
    </row>
    <row r="307" spans="1:1" x14ac:dyDescent="0.2">
      <c r="A307" s="257"/>
    </row>
    <row r="309" spans="1:1" x14ac:dyDescent="0.2">
      <c r="A309" s="263"/>
    </row>
    <row r="310" spans="1:1" x14ac:dyDescent="0.2">
      <c r="A310" s="264"/>
    </row>
    <row r="311" spans="1:1" x14ac:dyDescent="0.2">
      <c r="A311" s="259"/>
    </row>
    <row r="312" spans="1:1" x14ac:dyDescent="0.2">
      <c r="A312" s="258"/>
    </row>
    <row r="313" spans="1:1" x14ac:dyDescent="0.2">
      <c r="A313" s="257"/>
    </row>
    <row r="314" spans="1:1" x14ac:dyDescent="0.2">
      <c r="A314" s="263"/>
    </row>
    <row r="315" spans="1:1" x14ac:dyDescent="0.2">
      <c r="A315" s="264"/>
    </row>
    <row r="316" spans="1:1" x14ac:dyDescent="0.2">
      <c r="A316" s="259"/>
    </row>
    <row r="317" spans="1:1" x14ac:dyDescent="0.2">
      <c r="A317" s="258"/>
    </row>
    <row r="318" spans="1:1" x14ac:dyDescent="0.2">
      <c r="A318" s="257"/>
    </row>
    <row r="319" spans="1:1" x14ac:dyDescent="0.2">
      <c r="A319" s="263"/>
    </row>
    <row r="320" spans="1:1" x14ac:dyDescent="0.2">
      <c r="A320" s="264"/>
    </row>
    <row r="321" spans="1:1" x14ac:dyDescent="0.2">
      <c r="A321" s="259"/>
    </row>
    <row r="322" spans="1:1" x14ac:dyDescent="0.2">
      <c r="A322" s="258"/>
    </row>
    <row r="323" spans="1:1" x14ac:dyDescent="0.2">
      <c r="A323" s="257"/>
    </row>
    <row r="324" spans="1:1" x14ac:dyDescent="0.2">
      <c r="A324" s="263"/>
    </row>
    <row r="325" spans="1:1" x14ac:dyDescent="0.2">
      <c r="A325" s="264"/>
    </row>
    <row r="326" spans="1:1" x14ac:dyDescent="0.2">
      <c r="A326" s="259"/>
    </row>
    <row r="327" spans="1:1" x14ac:dyDescent="0.2">
      <c r="A327" s="258"/>
    </row>
    <row r="328" spans="1:1" x14ac:dyDescent="0.2">
      <c r="A328" s="257"/>
    </row>
    <row r="330" spans="1:1" x14ac:dyDescent="0.2">
      <c r="A330" s="263"/>
    </row>
    <row r="331" spans="1:1" x14ac:dyDescent="0.2">
      <c r="A331" s="264"/>
    </row>
    <row r="332" spans="1:1" x14ac:dyDescent="0.2">
      <c r="A332" s="259"/>
    </row>
    <row r="333" spans="1:1" x14ac:dyDescent="0.2">
      <c r="A333" s="258"/>
    </row>
    <row r="334" spans="1:1" x14ac:dyDescent="0.2">
      <c r="A334" s="257"/>
    </row>
    <row r="335" spans="1:1" x14ac:dyDescent="0.2">
      <c r="A335" s="263"/>
    </row>
    <row r="336" spans="1:1" x14ac:dyDescent="0.2">
      <c r="A336" s="264"/>
    </row>
    <row r="337" spans="1:1" x14ac:dyDescent="0.2">
      <c r="A337" s="259"/>
    </row>
    <row r="338" spans="1:1" x14ac:dyDescent="0.2">
      <c r="A338" s="258"/>
    </row>
    <row r="339" spans="1:1" x14ac:dyDescent="0.2">
      <c r="A339" s="257"/>
    </row>
    <row r="340" spans="1:1" x14ac:dyDescent="0.2">
      <c r="A340" s="263"/>
    </row>
    <row r="341" spans="1:1" x14ac:dyDescent="0.2">
      <c r="A341" s="264"/>
    </row>
    <row r="342" spans="1:1" x14ac:dyDescent="0.2">
      <c r="A342" s="259"/>
    </row>
    <row r="343" spans="1:1" x14ac:dyDescent="0.2">
      <c r="A343" s="258"/>
    </row>
    <row r="344" spans="1:1" x14ac:dyDescent="0.2">
      <c r="A344" s="257"/>
    </row>
    <row r="345" spans="1:1" x14ac:dyDescent="0.2">
      <c r="A345" s="263"/>
    </row>
    <row r="346" spans="1:1" x14ac:dyDescent="0.2">
      <c r="A346" s="264"/>
    </row>
    <row r="347" spans="1:1" x14ac:dyDescent="0.2">
      <c r="A347" s="259"/>
    </row>
    <row r="348" spans="1:1" x14ac:dyDescent="0.2">
      <c r="A348" s="258"/>
    </row>
    <row r="349" spans="1:1" x14ac:dyDescent="0.2">
      <c r="A349" s="257"/>
    </row>
    <row r="351" spans="1:1" x14ac:dyDescent="0.2">
      <c r="A351" s="263"/>
    </row>
    <row r="352" spans="1:1" x14ac:dyDescent="0.2">
      <c r="A352" s="264"/>
    </row>
    <row r="353" spans="1:1" x14ac:dyDescent="0.2">
      <c r="A353" s="259"/>
    </row>
    <row r="354" spans="1:1" x14ac:dyDescent="0.2">
      <c r="A354" s="258"/>
    </row>
    <row r="355" spans="1:1" x14ac:dyDescent="0.2">
      <c r="A355" s="257"/>
    </row>
    <row r="356" spans="1:1" x14ac:dyDescent="0.2">
      <c r="A356" s="263"/>
    </row>
    <row r="357" spans="1:1" x14ac:dyDescent="0.2">
      <c r="A357" s="264"/>
    </row>
    <row r="358" spans="1:1" x14ac:dyDescent="0.2">
      <c r="A358" s="259"/>
    </row>
    <row r="359" spans="1:1" x14ac:dyDescent="0.2">
      <c r="A359" s="258"/>
    </row>
    <row r="360" spans="1:1" x14ac:dyDescent="0.2">
      <c r="A360" s="257"/>
    </row>
    <row r="361" spans="1:1" x14ac:dyDescent="0.2">
      <c r="A361" s="263"/>
    </row>
    <row r="362" spans="1:1" x14ac:dyDescent="0.2">
      <c r="A362" s="264"/>
    </row>
    <row r="363" spans="1:1" x14ac:dyDescent="0.2">
      <c r="A363" s="259"/>
    </row>
    <row r="364" spans="1:1" x14ac:dyDescent="0.2">
      <c r="A364" s="258"/>
    </row>
    <row r="365" spans="1:1" x14ac:dyDescent="0.2">
      <c r="A365" s="257"/>
    </row>
    <row r="366" spans="1:1" x14ac:dyDescent="0.2">
      <c r="A366" s="263"/>
    </row>
    <row r="367" spans="1:1" x14ac:dyDescent="0.2">
      <c r="A367" s="264"/>
    </row>
    <row r="368" spans="1:1" x14ac:dyDescent="0.2">
      <c r="A368" s="259"/>
    </row>
    <row r="369" spans="1:1" x14ac:dyDescent="0.2">
      <c r="A369" s="258"/>
    </row>
    <row r="370" spans="1:1" x14ac:dyDescent="0.2">
      <c r="A370" s="257"/>
    </row>
    <row r="372" spans="1:1" x14ac:dyDescent="0.2">
      <c r="A372" s="263"/>
    </row>
    <row r="373" spans="1:1" x14ac:dyDescent="0.2">
      <c r="A373" s="264"/>
    </row>
    <row r="374" spans="1:1" x14ac:dyDescent="0.2">
      <c r="A374" s="259"/>
    </row>
    <row r="375" spans="1:1" x14ac:dyDescent="0.2">
      <c r="A375" s="258"/>
    </row>
    <row r="376" spans="1:1" x14ac:dyDescent="0.2">
      <c r="A376" s="257"/>
    </row>
    <row r="377" spans="1:1" x14ac:dyDescent="0.2">
      <c r="A377" s="263"/>
    </row>
    <row r="378" spans="1:1" x14ac:dyDescent="0.2">
      <c r="A378" s="264"/>
    </row>
    <row r="379" spans="1:1" x14ac:dyDescent="0.2">
      <c r="A379" s="259"/>
    </row>
    <row r="380" spans="1:1" x14ac:dyDescent="0.2">
      <c r="A380" s="258"/>
    </row>
    <row r="381" spans="1:1" x14ac:dyDescent="0.2">
      <c r="A381" s="257"/>
    </row>
    <row r="382" spans="1:1" x14ac:dyDescent="0.2">
      <c r="A382" s="263"/>
    </row>
    <row r="383" spans="1:1" x14ac:dyDescent="0.2">
      <c r="A383" s="264"/>
    </row>
    <row r="384" spans="1:1" x14ac:dyDescent="0.2">
      <c r="A384" s="259"/>
    </row>
    <row r="385" spans="1:1" x14ac:dyDescent="0.2">
      <c r="A385" s="258"/>
    </row>
    <row r="386" spans="1:1" x14ac:dyDescent="0.2">
      <c r="A386" s="257"/>
    </row>
    <row r="387" spans="1:1" x14ac:dyDescent="0.2">
      <c r="A387" s="263"/>
    </row>
    <row r="388" spans="1:1" x14ac:dyDescent="0.2">
      <c r="A388" s="264"/>
    </row>
    <row r="389" spans="1:1" x14ac:dyDescent="0.2">
      <c r="A389" s="259"/>
    </row>
    <row r="390" spans="1:1" x14ac:dyDescent="0.2">
      <c r="A390" s="258"/>
    </row>
    <row r="391" spans="1:1" x14ac:dyDescent="0.2">
      <c r="A391" s="257"/>
    </row>
    <row r="393" spans="1:1" x14ac:dyDescent="0.2">
      <c r="A393" s="263"/>
    </row>
    <row r="394" spans="1:1" x14ac:dyDescent="0.2">
      <c r="A394" s="264"/>
    </row>
    <row r="395" spans="1:1" x14ac:dyDescent="0.2">
      <c r="A395" s="259"/>
    </row>
    <row r="396" spans="1:1" x14ac:dyDescent="0.2">
      <c r="A396" s="258"/>
    </row>
    <row r="397" spans="1:1" x14ac:dyDescent="0.2">
      <c r="A397" s="257"/>
    </row>
    <row r="398" spans="1:1" x14ac:dyDescent="0.2">
      <c r="A398" s="263"/>
    </row>
    <row r="399" spans="1:1" x14ac:dyDescent="0.2">
      <c r="A399" s="264"/>
    </row>
    <row r="400" spans="1:1" x14ac:dyDescent="0.2">
      <c r="A400" s="259"/>
    </row>
    <row r="401" spans="1:1" x14ac:dyDescent="0.2">
      <c r="A401" s="258"/>
    </row>
    <row r="402" spans="1:1" x14ac:dyDescent="0.2">
      <c r="A402" s="257"/>
    </row>
    <row r="403" spans="1:1" x14ac:dyDescent="0.2">
      <c r="A403" s="263"/>
    </row>
    <row r="404" spans="1:1" x14ac:dyDescent="0.2">
      <c r="A404" s="264"/>
    </row>
    <row r="405" spans="1:1" x14ac:dyDescent="0.2">
      <c r="A405" s="259"/>
    </row>
    <row r="406" spans="1:1" x14ac:dyDescent="0.2">
      <c r="A406" s="258"/>
    </row>
    <row r="407" spans="1:1" x14ac:dyDescent="0.2">
      <c r="A407" s="257"/>
    </row>
    <row r="408" spans="1:1" x14ac:dyDescent="0.2">
      <c r="A408" s="263"/>
    </row>
    <row r="409" spans="1:1" x14ac:dyDescent="0.2">
      <c r="A409" s="264"/>
    </row>
    <row r="410" spans="1:1" x14ac:dyDescent="0.2">
      <c r="A410" s="259"/>
    </row>
    <row r="411" spans="1:1" x14ac:dyDescent="0.2">
      <c r="A411" s="258"/>
    </row>
    <row r="412" spans="1:1" x14ac:dyDescent="0.2">
      <c r="A412" s="257"/>
    </row>
    <row r="414" spans="1:1" x14ac:dyDescent="0.2">
      <c r="A414" s="263"/>
    </row>
    <row r="415" spans="1:1" x14ac:dyDescent="0.2">
      <c r="A415" s="264"/>
    </row>
    <row r="416" spans="1:1" x14ac:dyDescent="0.2">
      <c r="A416" s="259"/>
    </row>
    <row r="417" spans="1:1" x14ac:dyDescent="0.2">
      <c r="A417" s="258"/>
    </row>
    <row r="418" spans="1:1" x14ac:dyDescent="0.2">
      <c r="A418" s="257"/>
    </row>
    <row r="419" spans="1:1" x14ac:dyDescent="0.2">
      <c r="A419" s="263"/>
    </row>
    <row r="420" spans="1:1" x14ac:dyDescent="0.2">
      <c r="A420" s="264"/>
    </row>
    <row r="421" spans="1:1" x14ac:dyDescent="0.2">
      <c r="A421" s="259"/>
    </row>
    <row r="422" spans="1:1" x14ac:dyDescent="0.2">
      <c r="A422" s="258"/>
    </row>
    <row r="423" spans="1:1" x14ac:dyDescent="0.2">
      <c r="A423" s="257"/>
    </row>
    <row r="424" spans="1:1" x14ac:dyDescent="0.2">
      <c r="A424" s="263"/>
    </row>
    <row r="425" spans="1:1" x14ac:dyDescent="0.2">
      <c r="A425" s="264"/>
    </row>
    <row r="426" spans="1:1" x14ac:dyDescent="0.2">
      <c r="A426" s="259"/>
    </row>
    <row r="427" spans="1:1" x14ac:dyDescent="0.2">
      <c r="A427" s="258"/>
    </row>
    <row r="428" spans="1:1" x14ac:dyDescent="0.2">
      <c r="A428" s="257"/>
    </row>
    <row r="429" spans="1:1" x14ac:dyDescent="0.2">
      <c r="A429" s="263"/>
    </row>
    <row r="430" spans="1:1" x14ac:dyDescent="0.2">
      <c r="A430" s="264"/>
    </row>
    <row r="431" spans="1:1" x14ac:dyDescent="0.2">
      <c r="A431" s="259"/>
    </row>
    <row r="432" spans="1:1" x14ac:dyDescent="0.2">
      <c r="A432" s="258"/>
    </row>
    <row r="433" spans="1:1" x14ac:dyDescent="0.2">
      <c r="A433" s="257"/>
    </row>
    <row r="435" spans="1:1" x14ac:dyDescent="0.2">
      <c r="A435" s="263"/>
    </row>
    <row r="436" spans="1:1" x14ac:dyDescent="0.2">
      <c r="A436" s="264"/>
    </row>
    <row r="437" spans="1:1" x14ac:dyDescent="0.2">
      <c r="A437" s="259"/>
    </row>
    <row r="438" spans="1:1" x14ac:dyDescent="0.2">
      <c r="A438" s="258"/>
    </row>
    <row r="439" spans="1:1" x14ac:dyDescent="0.2">
      <c r="A439" s="257"/>
    </row>
    <row r="440" spans="1:1" x14ac:dyDescent="0.2">
      <c r="A440" s="263"/>
    </row>
    <row r="441" spans="1:1" x14ac:dyDescent="0.2">
      <c r="A441" s="264"/>
    </row>
    <row r="442" spans="1:1" x14ac:dyDescent="0.2">
      <c r="A442" s="259"/>
    </row>
    <row r="443" spans="1:1" x14ac:dyDescent="0.2">
      <c r="A443" s="258"/>
    </row>
    <row r="444" spans="1:1" x14ac:dyDescent="0.2">
      <c r="A444" s="257"/>
    </row>
    <row r="445" spans="1:1" x14ac:dyDescent="0.2">
      <c r="A445" s="263"/>
    </row>
    <row r="446" spans="1:1" x14ac:dyDescent="0.2">
      <c r="A446" s="264"/>
    </row>
    <row r="447" spans="1:1" x14ac:dyDescent="0.2">
      <c r="A447" s="259"/>
    </row>
    <row r="448" spans="1:1" x14ac:dyDescent="0.2">
      <c r="A448" s="258"/>
    </row>
    <row r="449" spans="1:1" x14ac:dyDescent="0.2">
      <c r="A449" s="257"/>
    </row>
    <row r="450" spans="1:1" x14ac:dyDescent="0.2">
      <c r="A450" s="263"/>
    </row>
    <row r="451" spans="1:1" x14ac:dyDescent="0.2">
      <c r="A451" s="264"/>
    </row>
    <row r="452" spans="1:1" x14ac:dyDescent="0.2">
      <c r="A452" s="259"/>
    </row>
    <row r="453" spans="1:1" x14ac:dyDescent="0.2">
      <c r="A453" s="258"/>
    </row>
    <row r="454" spans="1:1" x14ac:dyDescent="0.2">
      <c r="A454" s="257"/>
    </row>
    <row r="456" spans="1:1" x14ac:dyDescent="0.2">
      <c r="A456" s="263"/>
    </row>
    <row r="457" spans="1:1" x14ac:dyDescent="0.2">
      <c r="A457" s="264"/>
    </row>
    <row r="458" spans="1:1" x14ac:dyDescent="0.2">
      <c r="A458" s="259"/>
    </row>
    <row r="459" spans="1:1" x14ac:dyDescent="0.2">
      <c r="A459" s="258"/>
    </row>
    <row r="460" spans="1:1" x14ac:dyDescent="0.2">
      <c r="A460" s="257"/>
    </row>
    <row r="461" spans="1:1" x14ac:dyDescent="0.2">
      <c r="A461" s="263"/>
    </row>
    <row r="462" spans="1:1" x14ac:dyDescent="0.2">
      <c r="A462" s="264"/>
    </row>
    <row r="463" spans="1:1" x14ac:dyDescent="0.2">
      <c r="A463" s="259"/>
    </row>
    <row r="464" spans="1:1" x14ac:dyDescent="0.2">
      <c r="A464" s="258"/>
    </row>
    <row r="465" spans="1:1" x14ac:dyDescent="0.2">
      <c r="A465" s="257"/>
    </row>
    <row r="466" spans="1:1" x14ac:dyDescent="0.2">
      <c r="A466" s="263"/>
    </row>
    <row r="467" spans="1:1" x14ac:dyDescent="0.2">
      <c r="A467" s="264"/>
    </row>
    <row r="468" spans="1:1" x14ac:dyDescent="0.2">
      <c r="A468" s="259"/>
    </row>
    <row r="469" spans="1:1" x14ac:dyDescent="0.2">
      <c r="A469" s="258"/>
    </row>
    <row r="470" spans="1:1" x14ac:dyDescent="0.2">
      <c r="A470" s="257"/>
    </row>
    <row r="471" spans="1:1" x14ac:dyDescent="0.2">
      <c r="A471" s="263"/>
    </row>
    <row r="472" spans="1:1" x14ac:dyDescent="0.2">
      <c r="A472" s="264"/>
    </row>
    <row r="473" spans="1:1" x14ac:dyDescent="0.2">
      <c r="A473" s="259"/>
    </row>
    <row r="474" spans="1:1" x14ac:dyDescent="0.2">
      <c r="A474" s="258"/>
    </row>
    <row r="475" spans="1:1" x14ac:dyDescent="0.2">
      <c r="A475" s="257"/>
    </row>
    <row r="477" spans="1:1" x14ac:dyDescent="0.2">
      <c r="A477" s="263"/>
    </row>
    <row r="478" spans="1:1" x14ac:dyDescent="0.2">
      <c r="A478" s="264"/>
    </row>
    <row r="479" spans="1:1" x14ac:dyDescent="0.2">
      <c r="A479" s="259"/>
    </row>
    <row r="480" spans="1:1" x14ac:dyDescent="0.2">
      <c r="A480" s="258"/>
    </row>
    <row r="481" spans="1:1" x14ac:dyDescent="0.2">
      <c r="A481" s="257"/>
    </row>
    <row r="482" spans="1:1" x14ac:dyDescent="0.2">
      <c r="A482" s="263"/>
    </row>
    <row r="483" spans="1:1" x14ac:dyDescent="0.2">
      <c r="A483" s="264"/>
    </row>
    <row r="484" spans="1:1" x14ac:dyDescent="0.2">
      <c r="A484" s="259"/>
    </row>
    <row r="485" spans="1:1" x14ac:dyDescent="0.2">
      <c r="A485" s="258"/>
    </row>
    <row r="486" spans="1:1" x14ac:dyDescent="0.2">
      <c r="A486" s="257"/>
    </row>
    <row r="487" spans="1:1" x14ac:dyDescent="0.2">
      <c r="A487" s="263"/>
    </row>
    <row r="488" spans="1:1" x14ac:dyDescent="0.2">
      <c r="A488" s="264"/>
    </row>
    <row r="489" spans="1:1" x14ac:dyDescent="0.2">
      <c r="A489" s="259"/>
    </row>
    <row r="490" spans="1:1" x14ac:dyDescent="0.2">
      <c r="A490" s="258"/>
    </row>
    <row r="491" spans="1:1" x14ac:dyDescent="0.2">
      <c r="A491" s="257"/>
    </row>
    <row r="492" spans="1:1" x14ac:dyDescent="0.2">
      <c r="A492" s="263"/>
    </row>
    <row r="493" spans="1:1" x14ac:dyDescent="0.2">
      <c r="A493" s="264"/>
    </row>
    <row r="494" spans="1:1" x14ac:dyDescent="0.2">
      <c r="A494" s="259"/>
    </row>
    <row r="495" spans="1:1" x14ac:dyDescent="0.2">
      <c r="A495" s="258"/>
    </row>
    <row r="496" spans="1:1" x14ac:dyDescent="0.2">
      <c r="A496" s="257"/>
    </row>
    <row r="498" spans="1:1" x14ac:dyDescent="0.2">
      <c r="A498" s="263"/>
    </row>
    <row r="499" spans="1:1" x14ac:dyDescent="0.2">
      <c r="A499" s="264"/>
    </row>
    <row r="500" spans="1:1" x14ac:dyDescent="0.2">
      <c r="A500" s="259"/>
    </row>
    <row r="501" spans="1:1" x14ac:dyDescent="0.2">
      <c r="A501" s="258"/>
    </row>
    <row r="502" spans="1:1" x14ac:dyDescent="0.2">
      <c r="A502" s="257"/>
    </row>
    <row r="503" spans="1:1" x14ac:dyDescent="0.2">
      <c r="A503" s="263"/>
    </row>
    <row r="504" spans="1:1" x14ac:dyDescent="0.2">
      <c r="A504" s="264"/>
    </row>
    <row r="505" spans="1:1" x14ac:dyDescent="0.2">
      <c r="A505" s="259"/>
    </row>
    <row r="506" spans="1:1" x14ac:dyDescent="0.2">
      <c r="A506" s="258"/>
    </row>
    <row r="507" spans="1:1" x14ac:dyDescent="0.2">
      <c r="A507" s="257"/>
    </row>
    <row r="508" spans="1:1" x14ac:dyDescent="0.2">
      <c r="A508" s="263"/>
    </row>
    <row r="509" spans="1:1" x14ac:dyDescent="0.2">
      <c r="A509" s="264"/>
    </row>
    <row r="510" spans="1:1" x14ac:dyDescent="0.2">
      <c r="A510" s="259"/>
    </row>
    <row r="511" spans="1:1" x14ac:dyDescent="0.2">
      <c r="A511" s="258"/>
    </row>
    <row r="512" spans="1:1" x14ac:dyDescent="0.2">
      <c r="A512" s="257"/>
    </row>
    <row r="513" spans="1:1" x14ac:dyDescent="0.2">
      <c r="A513" s="263"/>
    </row>
    <row r="514" spans="1:1" x14ac:dyDescent="0.2">
      <c r="A514" s="264"/>
    </row>
    <row r="515" spans="1:1" x14ac:dyDescent="0.2">
      <c r="A515" s="259"/>
    </row>
    <row r="516" spans="1:1" x14ac:dyDescent="0.2">
      <c r="A516" s="258"/>
    </row>
    <row r="517" spans="1:1" x14ac:dyDescent="0.2">
      <c r="A517" s="257"/>
    </row>
    <row r="519" spans="1:1" x14ac:dyDescent="0.2">
      <c r="A519" s="263"/>
    </row>
    <row r="520" spans="1:1" x14ac:dyDescent="0.2">
      <c r="A520" s="264"/>
    </row>
    <row r="521" spans="1:1" x14ac:dyDescent="0.2">
      <c r="A521" s="259"/>
    </row>
    <row r="522" spans="1:1" x14ac:dyDescent="0.2">
      <c r="A522" s="258"/>
    </row>
    <row r="523" spans="1:1" x14ac:dyDescent="0.2">
      <c r="A523" s="257"/>
    </row>
    <row r="524" spans="1:1" x14ac:dyDescent="0.2">
      <c r="A524" s="263"/>
    </row>
    <row r="525" spans="1:1" x14ac:dyDescent="0.2">
      <c r="A525" s="264"/>
    </row>
    <row r="526" spans="1:1" x14ac:dyDescent="0.2">
      <c r="A526" s="259"/>
    </row>
    <row r="527" spans="1:1" x14ac:dyDescent="0.2">
      <c r="A527" s="258"/>
    </row>
    <row r="528" spans="1:1" x14ac:dyDescent="0.2">
      <c r="A528" s="257"/>
    </row>
    <row r="529" spans="1:1" x14ac:dyDescent="0.2">
      <c r="A529" s="263"/>
    </row>
    <row r="530" spans="1:1" x14ac:dyDescent="0.2">
      <c r="A530" s="264"/>
    </row>
    <row r="531" spans="1:1" x14ac:dyDescent="0.2">
      <c r="A531" s="259"/>
    </row>
    <row r="532" spans="1:1" x14ac:dyDescent="0.2">
      <c r="A532" s="258"/>
    </row>
    <row r="533" spans="1:1" x14ac:dyDescent="0.2">
      <c r="A533" s="257"/>
    </row>
    <row r="534" spans="1:1" x14ac:dyDescent="0.2">
      <c r="A534" s="263"/>
    </row>
    <row r="535" spans="1:1" x14ac:dyDescent="0.2">
      <c r="A535" s="264"/>
    </row>
    <row r="536" spans="1:1" x14ac:dyDescent="0.2">
      <c r="A536" s="259"/>
    </row>
    <row r="537" spans="1:1" x14ac:dyDescent="0.2">
      <c r="A537" s="258"/>
    </row>
    <row r="538" spans="1:1" x14ac:dyDescent="0.2">
      <c r="A538" s="257"/>
    </row>
    <row r="540" spans="1:1" x14ac:dyDescent="0.2">
      <c r="A540" s="263"/>
    </row>
    <row r="541" spans="1:1" x14ac:dyDescent="0.2">
      <c r="A541" s="264"/>
    </row>
    <row r="542" spans="1:1" x14ac:dyDescent="0.2">
      <c r="A542" s="259"/>
    </row>
    <row r="543" spans="1:1" x14ac:dyDescent="0.2">
      <c r="A543" s="258"/>
    </row>
    <row r="544" spans="1:1" x14ac:dyDescent="0.2">
      <c r="A544" s="257"/>
    </row>
    <row r="545" spans="1:1" x14ac:dyDescent="0.2">
      <c r="A545" s="263"/>
    </row>
    <row r="546" spans="1:1" x14ac:dyDescent="0.2">
      <c r="A546" s="264"/>
    </row>
    <row r="547" spans="1:1" x14ac:dyDescent="0.2">
      <c r="A547" s="259"/>
    </row>
    <row r="548" spans="1:1" x14ac:dyDescent="0.2">
      <c r="A548" s="258"/>
    </row>
    <row r="549" spans="1:1" x14ac:dyDescent="0.2">
      <c r="A549" s="257"/>
    </row>
    <row r="550" spans="1:1" x14ac:dyDescent="0.2">
      <c r="A550" s="263"/>
    </row>
    <row r="551" spans="1:1" x14ac:dyDescent="0.2">
      <c r="A551" s="264"/>
    </row>
    <row r="552" spans="1:1" x14ac:dyDescent="0.2">
      <c r="A552" s="259"/>
    </row>
    <row r="553" spans="1:1" x14ac:dyDescent="0.2">
      <c r="A553" s="258"/>
    </row>
    <row r="554" spans="1:1" x14ac:dyDescent="0.2">
      <c r="A554" s="257"/>
    </row>
    <row r="555" spans="1:1" x14ac:dyDescent="0.2">
      <c r="A555" s="263"/>
    </row>
    <row r="556" spans="1:1" x14ac:dyDescent="0.2">
      <c r="A556" s="264"/>
    </row>
    <row r="557" spans="1:1" x14ac:dyDescent="0.2">
      <c r="A557" s="259"/>
    </row>
    <row r="558" spans="1:1" x14ac:dyDescent="0.2">
      <c r="A558" s="258"/>
    </row>
    <row r="559" spans="1:1" x14ac:dyDescent="0.2">
      <c r="A559" s="257"/>
    </row>
    <row r="561" spans="1:1" x14ac:dyDescent="0.2">
      <c r="A561" s="263"/>
    </row>
    <row r="562" spans="1:1" x14ac:dyDescent="0.2">
      <c r="A562" s="264"/>
    </row>
    <row r="563" spans="1:1" x14ac:dyDescent="0.2">
      <c r="A563" s="259"/>
    </row>
    <row r="564" spans="1:1" x14ac:dyDescent="0.2">
      <c r="A564" s="258"/>
    </row>
    <row r="565" spans="1:1" x14ac:dyDescent="0.2">
      <c r="A565" s="257"/>
    </row>
    <row r="566" spans="1:1" x14ac:dyDescent="0.2">
      <c r="A566" s="263"/>
    </row>
    <row r="567" spans="1:1" x14ac:dyDescent="0.2">
      <c r="A567" s="264"/>
    </row>
    <row r="568" spans="1:1" x14ac:dyDescent="0.2">
      <c r="A568" s="259"/>
    </row>
    <row r="569" spans="1:1" x14ac:dyDescent="0.2">
      <c r="A569" s="258"/>
    </row>
    <row r="570" spans="1:1" x14ac:dyDescent="0.2">
      <c r="A570" s="257"/>
    </row>
    <row r="571" spans="1:1" x14ac:dyDescent="0.2">
      <c r="A571" s="263"/>
    </row>
    <row r="572" spans="1:1" x14ac:dyDescent="0.2">
      <c r="A572" s="264"/>
    </row>
    <row r="573" spans="1:1" x14ac:dyDescent="0.2">
      <c r="A573" s="259"/>
    </row>
    <row r="574" spans="1:1" x14ac:dyDescent="0.2">
      <c r="A574" s="258"/>
    </row>
    <row r="575" spans="1:1" x14ac:dyDescent="0.2">
      <c r="A575" s="257"/>
    </row>
    <row r="576" spans="1:1" x14ac:dyDescent="0.2">
      <c r="A576" s="263"/>
    </row>
    <row r="577" spans="1:1" x14ac:dyDescent="0.2">
      <c r="A577" s="264"/>
    </row>
    <row r="578" spans="1:1" x14ac:dyDescent="0.2">
      <c r="A578" s="259"/>
    </row>
    <row r="579" spans="1:1" x14ac:dyDescent="0.2">
      <c r="A579" s="258"/>
    </row>
    <row r="580" spans="1:1" x14ac:dyDescent="0.2">
      <c r="A580" s="257"/>
    </row>
    <row r="582" spans="1:1" x14ac:dyDescent="0.2">
      <c r="A582" s="263"/>
    </row>
    <row r="583" spans="1:1" x14ac:dyDescent="0.2">
      <c r="A583" s="264"/>
    </row>
    <row r="584" spans="1:1" x14ac:dyDescent="0.2">
      <c r="A584" s="259"/>
    </row>
    <row r="585" spans="1:1" x14ac:dyDescent="0.2">
      <c r="A585" s="258"/>
    </row>
    <row r="586" spans="1:1" x14ac:dyDescent="0.2">
      <c r="A586" s="257"/>
    </row>
    <row r="587" spans="1:1" x14ac:dyDescent="0.2">
      <c r="A587" s="263"/>
    </row>
    <row r="588" spans="1:1" x14ac:dyDescent="0.2">
      <c r="A588" s="264"/>
    </row>
    <row r="589" spans="1:1" x14ac:dyDescent="0.2">
      <c r="A589" s="259"/>
    </row>
    <row r="590" spans="1:1" x14ac:dyDescent="0.2">
      <c r="A590" s="258"/>
    </row>
    <row r="591" spans="1:1" x14ac:dyDescent="0.2">
      <c r="A591" s="257"/>
    </row>
    <row r="592" spans="1:1" x14ac:dyDescent="0.2">
      <c r="A592" s="263"/>
    </row>
    <row r="593" spans="1:1" x14ac:dyDescent="0.2">
      <c r="A593" s="264"/>
    </row>
    <row r="594" spans="1:1" x14ac:dyDescent="0.2">
      <c r="A594" s="259"/>
    </row>
    <row r="595" spans="1:1" x14ac:dyDescent="0.2">
      <c r="A595" s="258"/>
    </row>
    <row r="596" spans="1:1" x14ac:dyDescent="0.2">
      <c r="A596" s="257"/>
    </row>
    <row r="597" spans="1:1" x14ac:dyDescent="0.2">
      <c r="A597" s="263"/>
    </row>
    <row r="598" spans="1:1" x14ac:dyDescent="0.2">
      <c r="A598" s="264"/>
    </row>
    <row r="599" spans="1:1" x14ac:dyDescent="0.2">
      <c r="A599" s="259"/>
    </row>
    <row r="600" spans="1:1" x14ac:dyDescent="0.2">
      <c r="A600" s="258"/>
    </row>
    <row r="601" spans="1:1" x14ac:dyDescent="0.2">
      <c r="A601" s="257"/>
    </row>
    <row r="603" spans="1:1" x14ac:dyDescent="0.2">
      <c r="A603" s="263"/>
    </row>
    <row r="604" spans="1:1" x14ac:dyDescent="0.2">
      <c r="A604" s="264"/>
    </row>
    <row r="605" spans="1:1" x14ac:dyDescent="0.2">
      <c r="A605" s="259"/>
    </row>
    <row r="606" spans="1:1" x14ac:dyDescent="0.2">
      <c r="A606" s="258"/>
    </row>
    <row r="607" spans="1:1" x14ac:dyDescent="0.2">
      <c r="A607" s="257"/>
    </row>
    <row r="608" spans="1:1" x14ac:dyDescent="0.2">
      <c r="A608" s="263"/>
    </row>
    <row r="609" spans="1:1" x14ac:dyDescent="0.2">
      <c r="A609" s="264"/>
    </row>
    <row r="610" spans="1:1" x14ac:dyDescent="0.2">
      <c r="A610" s="259"/>
    </row>
    <row r="611" spans="1:1" x14ac:dyDescent="0.2">
      <c r="A611" s="258"/>
    </row>
    <row r="612" spans="1:1" x14ac:dyDescent="0.2">
      <c r="A612" s="257"/>
    </row>
    <row r="613" spans="1:1" x14ac:dyDescent="0.2">
      <c r="A613" s="263"/>
    </row>
    <row r="614" spans="1:1" x14ac:dyDescent="0.2">
      <c r="A614" s="264"/>
    </row>
    <row r="615" spans="1:1" x14ac:dyDescent="0.2">
      <c r="A615" s="259"/>
    </row>
    <row r="616" spans="1:1" x14ac:dyDescent="0.2">
      <c r="A616" s="258"/>
    </row>
    <row r="617" spans="1:1" x14ac:dyDescent="0.2">
      <c r="A617" s="257"/>
    </row>
    <row r="618" spans="1:1" x14ac:dyDescent="0.2">
      <c r="A618" s="263"/>
    </row>
    <row r="619" spans="1:1" x14ac:dyDescent="0.2">
      <c r="A619" s="264"/>
    </row>
    <row r="620" spans="1:1" x14ac:dyDescent="0.2">
      <c r="A620" s="259"/>
    </row>
    <row r="621" spans="1:1" x14ac:dyDescent="0.2">
      <c r="A621" s="258"/>
    </row>
    <row r="622" spans="1:1" x14ac:dyDescent="0.2">
      <c r="A622" s="257"/>
    </row>
    <row r="624" spans="1:1" x14ac:dyDescent="0.2">
      <c r="A624" s="263"/>
    </row>
    <row r="625" spans="1:1" x14ac:dyDescent="0.2">
      <c r="A625" s="264"/>
    </row>
    <row r="626" spans="1:1" x14ac:dyDescent="0.2">
      <c r="A626" s="259"/>
    </row>
    <row r="627" spans="1:1" x14ac:dyDescent="0.2">
      <c r="A627" s="258"/>
    </row>
    <row r="628" spans="1:1" x14ac:dyDescent="0.2">
      <c r="A628" s="257"/>
    </row>
    <row r="629" spans="1:1" x14ac:dyDescent="0.2">
      <c r="A629" s="263"/>
    </row>
    <row r="630" spans="1:1" x14ac:dyDescent="0.2">
      <c r="A630" s="264"/>
    </row>
    <row r="631" spans="1:1" x14ac:dyDescent="0.2">
      <c r="A631" s="259"/>
    </row>
    <row r="632" spans="1:1" x14ac:dyDescent="0.2">
      <c r="A632" s="258"/>
    </row>
    <row r="633" spans="1:1" x14ac:dyDescent="0.2">
      <c r="A633" s="257"/>
    </row>
    <row r="634" spans="1:1" x14ac:dyDescent="0.2">
      <c r="A634" s="263"/>
    </row>
    <row r="635" spans="1:1" x14ac:dyDescent="0.2">
      <c r="A635" s="264"/>
    </row>
    <row r="636" spans="1:1" x14ac:dyDescent="0.2">
      <c r="A636" s="259"/>
    </row>
    <row r="637" spans="1:1" x14ac:dyDescent="0.2">
      <c r="A637" s="258"/>
    </row>
    <row r="638" spans="1:1" x14ac:dyDescent="0.2">
      <c r="A638" s="257"/>
    </row>
    <row r="639" spans="1:1" x14ac:dyDescent="0.2">
      <c r="A639" s="263"/>
    </row>
    <row r="640" spans="1:1" x14ac:dyDescent="0.2">
      <c r="A640" s="264"/>
    </row>
    <row r="641" spans="1:1" x14ac:dyDescent="0.2">
      <c r="A641" s="259"/>
    </row>
    <row r="642" spans="1:1" x14ac:dyDescent="0.2">
      <c r="A642" s="258"/>
    </row>
    <row r="643" spans="1:1" x14ac:dyDescent="0.2">
      <c r="A643" s="257"/>
    </row>
    <row r="645" spans="1:1" x14ac:dyDescent="0.2">
      <c r="A645" s="263"/>
    </row>
    <row r="646" spans="1:1" x14ac:dyDescent="0.2">
      <c r="A646" s="264"/>
    </row>
    <row r="647" spans="1:1" x14ac:dyDescent="0.2">
      <c r="A647" s="259"/>
    </row>
    <row r="648" spans="1:1" x14ac:dyDescent="0.2">
      <c r="A648" s="258"/>
    </row>
    <row r="649" spans="1:1" x14ac:dyDescent="0.2">
      <c r="A649" s="257"/>
    </row>
    <row r="650" spans="1:1" x14ac:dyDescent="0.2">
      <c r="A650" s="263"/>
    </row>
    <row r="651" spans="1:1" x14ac:dyDescent="0.2">
      <c r="A651" s="264"/>
    </row>
    <row r="652" spans="1:1" x14ac:dyDescent="0.2">
      <c r="A652" s="259"/>
    </row>
    <row r="653" spans="1:1" x14ac:dyDescent="0.2">
      <c r="A653" s="258"/>
    </row>
    <row r="654" spans="1:1" x14ac:dyDescent="0.2">
      <c r="A654" s="257"/>
    </row>
    <row r="655" spans="1:1" x14ac:dyDescent="0.2">
      <c r="A655" s="263"/>
    </row>
    <row r="656" spans="1:1" x14ac:dyDescent="0.2">
      <c r="A656" s="264"/>
    </row>
    <row r="657" spans="1:1" x14ac:dyDescent="0.2">
      <c r="A657" s="259"/>
    </row>
    <row r="658" spans="1:1" x14ac:dyDescent="0.2">
      <c r="A658" s="258"/>
    </row>
    <row r="659" spans="1:1" x14ac:dyDescent="0.2">
      <c r="A659" s="257"/>
    </row>
    <row r="660" spans="1:1" x14ac:dyDescent="0.2">
      <c r="A660" s="263"/>
    </row>
    <row r="661" spans="1:1" x14ac:dyDescent="0.2">
      <c r="A661" s="264"/>
    </row>
    <row r="662" spans="1:1" x14ac:dyDescent="0.2">
      <c r="A662" s="259"/>
    </row>
    <row r="663" spans="1:1" x14ac:dyDescent="0.2">
      <c r="A663" s="258"/>
    </row>
    <row r="664" spans="1:1" x14ac:dyDescent="0.2">
      <c r="A664" s="257"/>
    </row>
    <row r="666" spans="1:1" x14ac:dyDescent="0.2">
      <c r="A666" s="263"/>
    </row>
    <row r="667" spans="1:1" x14ac:dyDescent="0.2">
      <c r="A667" s="264"/>
    </row>
    <row r="668" spans="1:1" x14ac:dyDescent="0.2">
      <c r="A668" s="259"/>
    </row>
    <row r="669" spans="1:1" x14ac:dyDescent="0.2">
      <c r="A669" s="258"/>
    </row>
    <row r="670" spans="1:1" x14ac:dyDescent="0.2">
      <c r="A670" s="257"/>
    </row>
    <row r="671" spans="1:1" x14ac:dyDescent="0.2">
      <c r="A671" s="263"/>
    </row>
    <row r="672" spans="1:1" x14ac:dyDescent="0.2">
      <c r="A672" s="264"/>
    </row>
    <row r="673" spans="1:1" x14ac:dyDescent="0.2">
      <c r="A673" s="259"/>
    </row>
    <row r="674" spans="1:1" x14ac:dyDescent="0.2">
      <c r="A674" s="258"/>
    </row>
    <row r="675" spans="1:1" x14ac:dyDescent="0.2">
      <c r="A675" s="257"/>
    </row>
    <row r="676" spans="1:1" x14ac:dyDescent="0.2">
      <c r="A676" s="263"/>
    </row>
    <row r="677" spans="1:1" x14ac:dyDescent="0.2">
      <c r="A677" s="264"/>
    </row>
    <row r="678" spans="1:1" x14ac:dyDescent="0.2">
      <c r="A678" s="259"/>
    </row>
    <row r="679" spans="1:1" x14ac:dyDescent="0.2">
      <c r="A679" s="258"/>
    </row>
    <row r="680" spans="1:1" x14ac:dyDescent="0.2">
      <c r="A680" s="257"/>
    </row>
    <row r="681" spans="1:1" x14ac:dyDescent="0.2">
      <c r="A681" s="263"/>
    </row>
    <row r="682" spans="1:1" x14ac:dyDescent="0.2">
      <c r="A682" s="264"/>
    </row>
    <row r="683" spans="1:1" x14ac:dyDescent="0.2">
      <c r="A683" s="259"/>
    </row>
    <row r="684" spans="1:1" x14ac:dyDescent="0.2">
      <c r="A684" s="258"/>
    </row>
    <row r="685" spans="1:1" x14ac:dyDescent="0.2">
      <c r="A685" s="257"/>
    </row>
  </sheetData>
  <dataValidations count="5">
    <dataValidation type="list" allowBlank="1" showInputMessage="1" showErrorMessage="1" sqref="S14:S733 G14:H733" xr:uid="{059A64CD-C2C2-4E10-B0E8-D9206035C393}">
      <formula1>INDIRECT(F14)</formula1>
    </dataValidation>
    <dataValidation type="list" allowBlank="1" showInputMessage="1" showErrorMessage="1" sqref="R14:R733" xr:uid="{CB88D1F1-674A-4E70-88FB-3A37ED735DEE}">
      <formula1>STATUS</formula1>
    </dataValidation>
    <dataValidation type="list" allowBlank="1" showInputMessage="1" showErrorMessage="1" sqref="F14:F733" xr:uid="{4883139F-54B9-4D16-B349-3BE95348A639}">
      <formula1>CASETYPE</formula1>
    </dataValidation>
    <dataValidation type="textLength" allowBlank="1" showInputMessage="1" showErrorMessage="1" prompt="PLEASE AT 11 DIGITS OR NOTHING!!" sqref="M1:M1048576" xr:uid="{DB50BC90-F7CE-47CD-A0EE-2D73EAFA5E62}">
      <formula1>11</formula1>
      <formula2>18</formula2>
    </dataValidation>
    <dataValidation type="textLength" allowBlank="1" showInputMessage="1" showErrorMessage="1" prompt="PLEASE ENTER AT LEAST 11 DIGITS OR SKIP IT!!" sqref="J2:J1048576 I1" xr:uid="{10CE5B50-81A8-4C43-B60E-B9415B898063}">
      <formula1>11</formula1>
      <formula2>18</formula2>
    </dataValidation>
  </dataValidations>
  <hyperlinks>
    <hyperlink ref="E1" location="'HEARING LOG'!A1" display="HEARING LOG" xr:uid="{2C7C2A56-22E8-45B3-9B3F-BB3681797DEA}"/>
    <hyperlink ref="F1" location="'AUTO CAUSE LIST'!A1" display="AUTO CAUSE LIST" xr:uid="{4F08A196-A770-402F-B95C-24D2386AE32D}"/>
    <hyperlink ref="G1" location="INSIGHTS!A1" display="INSIGHTS" xr:uid="{EBF36310-1018-4742-90E9-FAA5698D0866}"/>
    <hyperlink ref="D1" location="'HOME PAGE'!A1" display="HOME" xr:uid="{F0449675-55E1-441A-9E89-38FF97875D5D}"/>
    <hyperlink ref="H1" location="'COUNSEL DIRECTORY'!A1" tooltip="COUNSEL DIRECTORY" display="'COUNSEL DIRECTORY'!A1" xr:uid="{06B93473-5644-448F-983A-2161F413A6E5}"/>
    <hyperlink ref="I1" location="'QUARTER REPORT'!A1" tooltip="QUARTERLY REPORT" display="'QUARTER REPORT'!A1" xr:uid="{2B7CE8BE-7FB9-41EF-8CD3-F8C14B5E3491}"/>
  </hyperlink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2E696-030F-4512-9FC2-D8FAAD41C3CC}">
  <sheetPr>
    <tabColor theme="4" tint="-0.499984740745262"/>
  </sheetPr>
  <dimension ref="A1:Q1068"/>
  <sheetViews>
    <sheetView showGridLines="0" zoomScale="82" zoomScaleNormal="82" workbookViewId="0">
      <selection activeCell="F1" sqref="F1"/>
    </sheetView>
  </sheetViews>
  <sheetFormatPr defaultColWidth="9.14453125" defaultRowHeight="15" x14ac:dyDescent="0.2"/>
  <cols>
    <col min="1" max="1" width="25.01953125" style="136" customWidth="1"/>
    <col min="2" max="2" width="8.609375" style="136" bestFit="1" customWidth="1"/>
    <col min="3" max="3" width="24.48046875" style="136" bestFit="1" customWidth="1"/>
    <col min="4" max="4" width="34.5703125" style="136" bestFit="1" customWidth="1"/>
    <col min="5" max="5" width="30.53515625" style="136" bestFit="1" customWidth="1"/>
    <col min="6" max="6" width="26.23046875" style="136" bestFit="1" customWidth="1"/>
    <col min="7" max="7" width="26.23046875" style="136" customWidth="1"/>
    <col min="8" max="8" width="30.66796875" style="136" bestFit="1" customWidth="1"/>
    <col min="9" max="9" width="28.78515625" style="197" bestFit="1" customWidth="1"/>
    <col min="10" max="10" width="21.5234375" style="136" bestFit="1" customWidth="1"/>
    <col min="11" max="11" width="34.30078125" style="136" bestFit="1" customWidth="1"/>
    <col min="12" max="12" width="21.65625" style="136" customWidth="1"/>
    <col min="13" max="13" width="36.72265625" style="197" bestFit="1" customWidth="1"/>
    <col min="14" max="14" width="29.86328125" style="197" customWidth="1"/>
    <col min="15" max="15" width="26.23046875" style="198" bestFit="1" customWidth="1"/>
    <col min="16" max="16" width="9.14453125" style="136"/>
    <col min="17" max="17" width="9.14453125" style="136" customWidth="1"/>
    <col min="18" max="16384" width="9.14453125" style="136"/>
  </cols>
  <sheetData>
    <row r="1" spans="1:17" x14ac:dyDescent="0.2">
      <c r="C1" s="186" t="str">
        <f>_xlfn.UNICHAR(127968) &amp;" HOME"</f>
        <v>🏠 HOME</v>
      </c>
      <c r="D1" s="186" t="str">
        <f>_xlfn.UNICHAR(128257) &amp; " UPDATE CASE REGISTER"</f>
        <v>🔁 UPDATE CASE REGISTER</v>
      </c>
      <c r="E1" s="32" t="str">
        <f>_xlfn.UNICHAR(128196) &amp; " AUTO CAUSE LIST"</f>
        <v>📄 AUTO CAUSE LIST</v>
      </c>
      <c r="F1" s="186" t="str">
        <f>_xlfn.UNICHAR(128712) &amp; "  INSIGHTS"</f>
        <v>🛈  INSIGHTS</v>
      </c>
      <c r="G1" s="211" t="str">
        <f>_xlfn.UNICHAR(128100)&amp; "  COUNSEL DIRECTORY"</f>
        <v>👤  COUNSEL DIRECTORY</v>
      </c>
      <c r="H1" s="217" t="str">
        <f>_xlfn.UNICHAR(9997) &amp; "     QUARTERLY REPORTS"</f>
        <v>✍     QUARTERLY REPORTS</v>
      </c>
    </row>
    <row r="2" spans="1:17" ht="15.75" thickBot="1" x14ac:dyDescent="0.25">
      <c r="B2" s="199"/>
      <c r="C2" s="199"/>
      <c r="D2" s="199"/>
      <c r="E2" s="199"/>
      <c r="F2" s="199"/>
      <c r="G2" s="199"/>
      <c r="H2" s="199"/>
      <c r="I2" s="200"/>
      <c r="J2" s="200"/>
      <c r="K2" s="200"/>
      <c r="L2" s="200"/>
      <c r="M2" s="201"/>
      <c r="N2" s="201"/>
      <c r="O2" s="200"/>
      <c r="P2" s="202"/>
    </row>
    <row r="3" spans="1:17" ht="15.75" thickBot="1" x14ac:dyDescent="0.25">
      <c r="B3" s="199"/>
      <c r="C3" s="199"/>
      <c r="D3" s="199"/>
      <c r="E3" s="199"/>
      <c r="F3" s="199"/>
      <c r="G3" s="199"/>
      <c r="H3" s="199"/>
      <c r="I3" s="200"/>
      <c r="J3" s="200"/>
      <c r="K3" s="203"/>
      <c r="L3" s="200"/>
      <c r="M3" s="203"/>
      <c r="N3" s="203"/>
      <c r="O3" s="136"/>
      <c r="P3" s="202"/>
      <c r="Q3" s="204" t="str" cm="1">
        <f t="array" ref="Q3">IFERROR(_xlfn._xlws.SORT(_xlfn.UNIQUE(UPPER(TRIM(_xlfn._xlws.FILTER(HCT6_CR[SUIT NUMBER],HCT6_CR[SUIT NUMBER]&lt;&gt;""))))),"")</f>
        <v/>
      </c>
    </row>
    <row r="4" spans="1:17" x14ac:dyDescent="0.2">
      <c r="B4" s="199"/>
      <c r="C4" s="199"/>
      <c r="D4" s="199"/>
      <c r="E4" s="199"/>
      <c r="F4" s="199"/>
      <c r="G4" s="199"/>
      <c r="H4" s="199"/>
      <c r="I4" s="203"/>
      <c r="J4" s="200"/>
      <c r="K4" s="200"/>
      <c r="L4" s="200"/>
      <c r="M4" s="201"/>
      <c r="N4" s="201"/>
      <c r="O4" s="203"/>
      <c r="P4" s="202"/>
    </row>
    <row r="5" spans="1:17" x14ac:dyDescent="0.2">
      <c r="B5" s="199"/>
      <c r="C5" s="199"/>
      <c r="D5" s="199"/>
      <c r="E5" s="199"/>
      <c r="F5" s="199"/>
      <c r="G5" s="199"/>
      <c r="H5" s="199"/>
      <c r="I5" s="200"/>
      <c r="J5" s="200"/>
      <c r="K5" s="200"/>
      <c r="L5" s="200"/>
      <c r="M5" s="203"/>
      <c r="N5" s="203"/>
      <c r="O5" s="203"/>
      <c r="P5" s="202"/>
    </row>
    <row r="6" spans="1:17" x14ac:dyDescent="0.2">
      <c r="B6" s="199"/>
      <c r="C6" s="199"/>
      <c r="D6" s="199"/>
      <c r="E6" s="199"/>
      <c r="F6" s="199"/>
      <c r="G6" s="199"/>
      <c r="H6" s="199"/>
      <c r="I6" s="200"/>
      <c r="J6" s="200"/>
      <c r="K6" s="200"/>
      <c r="L6" s="203"/>
      <c r="M6" s="136"/>
      <c r="N6" s="136"/>
      <c r="O6" s="203"/>
      <c r="P6" s="202"/>
    </row>
    <row r="7" spans="1:17" x14ac:dyDescent="0.2">
      <c r="B7" s="199"/>
      <c r="C7" s="199"/>
      <c r="D7" s="199"/>
      <c r="E7" s="199"/>
      <c r="F7" s="199"/>
      <c r="G7" s="199"/>
      <c r="H7" s="199"/>
      <c r="I7" s="200"/>
      <c r="J7" s="200"/>
      <c r="K7" s="203"/>
      <c r="L7" s="200"/>
      <c r="M7" s="203"/>
      <c r="N7" s="203"/>
      <c r="O7" s="136"/>
      <c r="P7" s="202"/>
    </row>
    <row r="8" spans="1:17" x14ac:dyDescent="0.2">
      <c r="B8" s="199"/>
      <c r="C8" s="199"/>
      <c r="D8" s="199"/>
      <c r="E8" s="199"/>
      <c r="F8" s="199"/>
      <c r="G8" s="199"/>
      <c r="H8" s="199"/>
      <c r="I8" s="205"/>
      <c r="J8" s="203"/>
      <c r="K8" s="205"/>
      <c r="L8" s="203"/>
      <c r="M8" s="136"/>
      <c r="N8" s="136"/>
      <c r="O8" s="203"/>
      <c r="P8" s="202"/>
    </row>
    <row r="9" spans="1:17" x14ac:dyDescent="0.2">
      <c r="B9" s="199"/>
      <c r="C9" s="199"/>
      <c r="D9" s="199"/>
      <c r="E9" s="199"/>
      <c r="F9" s="199"/>
      <c r="G9" s="199"/>
      <c r="H9" s="199"/>
      <c r="I9" s="203"/>
      <c r="J9" s="206"/>
      <c r="K9" s="203"/>
      <c r="L9" s="205"/>
      <c r="M9" s="203"/>
      <c r="N9" s="203"/>
      <c r="O9" s="203"/>
      <c r="P9" s="202"/>
    </row>
    <row r="10" spans="1:17" x14ac:dyDescent="0.2">
      <c r="B10" s="199"/>
      <c r="C10" s="199"/>
      <c r="D10" s="199"/>
      <c r="E10" s="199"/>
      <c r="F10" s="199"/>
      <c r="G10" s="199"/>
      <c r="H10" s="199"/>
      <c r="I10" s="207"/>
      <c r="J10" s="203"/>
      <c r="K10" s="208"/>
      <c r="L10" s="203"/>
      <c r="M10" s="136"/>
      <c r="N10" s="136"/>
      <c r="O10" s="203"/>
      <c r="P10" s="202"/>
    </row>
    <row r="11" spans="1:17" x14ac:dyDescent="0.2">
      <c r="B11" s="199"/>
      <c r="C11" s="199"/>
      <c r="D11" s="199"/>
      <c r="E11" s="199"/>
      <c r="F11" s="199"/>
      <c r="G11" s="199"/>
      <c r="H11" s="203"/>
      <c r="I11" s="203"/>
      <c r="J11" s="208"/>
      <c r="K11" s="203"/>
      <c r="L11" s="208"/>
      <c r="M11" s="203"/>
      <c r="N11" s="203"/>
      <c r="O11" s="136"/>
      <c r="P11" s="202"/>
    </row>
    <row r="12" spans="1:17" ht="18.75" thickBot="1" x14ac:dyDescent="0.3">
      <c r="A12" s="212"/>
      <c r="B12" s="144" t="s">
        <v>0</v>
      </c>
      <c r="C12" s="144" t="s">
        <v>8</v>
      </c>
      <c r="D12" s="144" t="s">
        <v>2</v>
      </c>
      <c r="E12" s="144" t="s">
        <v>3</v>
      </c>
      <c r="F12" s="144" t="s">
        <v>4</v>
      </c>
      <c r="G12" s="144" t="s">
        <v>9</v>
      </c>
      <c r="H12" s="144" t="s">
        <v>238</v>
      </c>
      <c r="I12" s="144" t="s">
        <v>232</v>
      </c>
      <c r="J12" s="144" t="s">
        <v>233</v>
      </c>
      <c r="K12" s="144" t="s">
        <v>313</v>
      </c>
      <c r="L12" s="144" t="s">
        <v>234</v>
      </c>
      <c r="M12" s="209" t="s">
        <v>235</v>
      </c>
      <c r="N12" s="209" t="s">
        <v>135</v>
      </c>
      <c r="O12" s="144" t="s">
        <v>16</v>
      </c>
      <c r="P12" s="202"/>
    </row>
    <row r="13" spans="1:17" ht="19.5" thickTop="1" x14ac:dyDescent="0.25">
      <c r="A13" s="259"/>
      <c r="B13" s="97" t="str" cm="1">
        <f t="array" ref="B13">IF(HCT6_HL[[#This Row],[SUIT NUMBER]]="","",ROW()-ROW(HCT6_HL[#Headers]))</f>
        <v/>
      </c>
      <c r="C13" s="98"/>
      <c r="D13" s="97" t="str">
        <f>UPPER(_xlfn.XLOOKUP(HCT6_HL[[#This Row],[SUIT NUMBER]],HCT6_CR[SUIT NUMBER],HCT6_CR[PARTIES],""))&amp;""</f>
        <v/>
      </c>
      <c r="E13" s="97" t="str">
        <f>UPPER(_xlfn.XLOOKUP(HCT6_HL[[#This Row],[SUIT NUMBER]],HCT6_CR[SUIT NUMBER],HCT6_CR[CLAIMANT COUNSEL],""))&amp;""</f>
        <v/>
      </c>
      <c r="F13" s="97" t="str">
        <f>UPPER(_xlfn.XLOOKUP(HCT6_HL[[#This Row],[SUIT NUMBER]],HCT6_CR[SUIT NUMBER],HCT6_CR[DEFENDANT COUNSEL],""))&amp;""</f>
        <v/>
      </c>
      <c r="G13" s="97" t="str">
        <f>UPPER(_xlfn.XLOOKUP(HCT6_HL[[#This Row],[SUIT NUMBER]],HCT6_CR[SUIT NUMBER],HCT6_CR[CASE TYPE],""))&amp;""</f>
        <v/>
      </c>
      <c r="H13" s="97" t="str">
        <f>UPPER(_xlfn.XLOOKUP(HCT6_HL[[#This Row],[SUIT NUMBER]],HCT6_CR[SUIT NUMBER],HCT6_CR[NATURE OF CLAIM],""))&amp;""</f>
        <v/>
      </c>
      <c r="I13" s="99"/>
      <c r="J13" s="98"/>
      <c r="K13" s="100"/>
      <c r="L13" s="98"/>
      <c r="M13" s="99"/>
      <c r="N13" s="101"/>
      <c r="O13" s="102"/>
      <c r="P13" s="202"/>
    </row>
    <row r="14" spans="1:17" ht="18.75" x14ac:dyDescent="0.25">
      <c r="A14" s="258"/>
      <c r="B14" s="97" t="str" cm="1">
        <f t="array" ref="B14">IF(HCT6_HL[[#This Row],[SUIT NUMBER]]="","",ROW()-ROW(HCT6_HL[#Headers]))</f>
        <v/>
      </c>
      <c r="C14" s="98"/>
      <c r="D14" s="97" t="str" cm="1">
        <f t="array" ref="D14">_xlfn.XLOOKUP(HCT6_HL[[#This Row],[SUIT NUMBER]],HCT6_CR[SUIT NUMBER],UPPER(HCT6_CR[PARTIES]),"")&amp;""</f>
        <v/>
      </c>
      <c r="E14" s="97" t="str" cm="1">
        <f t="array" ref="E14">_xlfn.XLOOKUP(HCT6_HL[[#This Row],[SUIT NUMBER]],HCT6_CR[SUIT NUMBER],UPPER(HCT6_CR[CLAIMANT COUNSEL]),"")&amp;""</f>
        <v/>
      </c>
      <c r="F14" s="97" t="str" cm="1">
        <f t="array" ref="F14">_xlfn.XLOOKUP(HCT6_HL[[#This Row],[SUIT NUMBER]],HCT6_CR[SUIT NUMBER],UPPER(HCT6_CR[DEFENDANT COUNSEL]),"")&amp;""</f>
        <v/>
      </c>
      <c r="G14" s="97" t="str" cm="1">
        <f t="array" ref="G14">_xlfn.XLOOKUP(HCT6_HL[[#This Row],[SUIT NUMBER]],HCT6_CR[SUIT NUMBER],UPPER(HCT6_CR[CASE TYPE]),"")&amp;""</f>
        <v/>
      </c>
      <c r="H14" s="97" t="str" cm="1">
        <f t="array" ref="H14">_xlfn.XLOOKUP(HCT6_HL[[#This Row],[SUIT NUMBER]],HCT6_CR[SUIT NUMBER],UPPER(HCT6_CR[NATURE OF CLAIM]),"")&amp;""</f>
        <v/>
      </c>
      <c r="I14" s="99"/>
      <c r="J14" s="98"/>
      <c r="K14" s="100"/>
      <c r="L14" s="98"/>
      <c r="M14" s="99"/>
      <c r="N14" s="99"/>
      <c r="O14" s="102"/>
      <c r="P14" s="202"/>
    </row>
    <row r="15" spans="1:17" ht="18.75" x14ac:dyDescent="0.25">
      <c r="A15" s="257"/>
      <c r="B15" s="97" t="str" cm="1">
        <f t="array" ref="B15">IF(HCT6_HL[[#This Row],[SUIT NUMBER]]="","",ROW()-ROW(HCT6_HL[#Headers]))</f>
        <v/>
      </c>
      <c r="C15" s="210"/>
      <c r="D15" s="97" t="str" cm="1">
        <f t="array" ref="D15">_xlfn.XLOOKUP(HCT6_HL[[#This Row],[SUIT NUMBER]],HCT6_CR[SUIT NUMBER],UPPER(HCT6_CR[PARTIES]),"")&amp;""</f>
        <v/>
      </c>
      <c r="E15" s="97" t="str" cm="1">
        <f t="array" ref="E15">_xlfn.XLOOKUP(HCT6_HL[[#This Row],[SUIT NUMBER]],HCT6_CR[SUIT NUMBER],UPPER(HCT6_CR[CLAIMANT COUNSEL]),"")&amp;""</f>
        <v/>
      </c>
      <c r="F15" s="97" t="str" cm="1">
        <f t="array" ref="F15">_xlfn.XLOOKUP(HCT6_HL[[#This Row],[SUIT NUMBER]],HCT6_CR[SUIT NUMBER],UPPER(HCT6_CR[DEFENDANT COUNSEL]),"")&amp;""</f>
        <v/>
      </c>
      <c r="G15" s="97" t="str" cm="1">
        <f t="array" ref="G15">_xlfn.XLOOKUP(HCT6_HL[[#This Row],[SUIT NUMBER]],HCT6_CR[SUIT NUMBER],UPPER(HCT6_CR[CASE TYPE]),"")&amp;""</f>
        <v/>
      </c>
      <c r="H15" s="97" t="str" cm="1">
        <f t="array" ref="H15">_xlfn.XLOOKUP(HCT6_HL[[#This Row],[SUIT NUMBER]],HCT6_CR[SUIT NUMBER],UPPER(HCT6_CR[NATURE OF CLAIM]),"")&amp;""</f>
        <v/>
      </c>
      <c r="I15" s="99"/>
      <c r="J15" s="98"/>
      <c r="K15" s="100"/>
      <c r="L15" s="98"/>
      <c r="M15" s="99"/>
      <c r="N15" s="99"/>
      <c r="O15" s="102"/>
      <c r="P15" s="202"/>
    </row>
    <row r="16" spans="1:17" ht="18.75" x14ac:dyDescent="0.25">
      <c r="A16" s="262"/>
      <c r="B16" s="97" t="str" cm="1">
        <f t="array" ref="B16">IF(HCT6_HL[[#This Row],[SUIT NUMBER]]="","",ROW()-ROW(HCT6_HL[#Headers]))</f>
        <v/>
      </c>
      <c r="C16" s="98"/>
      <c r="D16" s="97" t="str" cm="1">
        <f t="array" ref="D16">_xlfn.XLOOKUP(HCT6_HL[[#This Row],[SUIT NUMBER]],HCT6_CR[SUIT NUMBER],UPPER(HCT6_CR[PARTIES]),"")&amp;""</f>
        <v/>
      </c>
      <c r="E16" s="97" t="str" cm="1">
        <f t="array" ref="E16">_xlfn.XLOOKUP(HCT6_HL[[#This Row],[SUIT NUMBER]],HCT6_CR[SUIT NUMBER],UPPER(HCT6_CR[CLAIMANT COUNSEL]),"")&amp;""</f>
        <v/>
      </c>
      <c r="F16" s="97" t="str" cm="1">
        <f t="array" ref="F16">_xlfn.XLOOKUP(HCT6_HL[[#This Row],[SUIT NUMBER]],HCT6_CR[SUIT NUMBER],UPPER(HCT6_CR[DEFENDANT COUNSEL]),"")&amp;""</f>
        <v/>
      </c>
      <c r="G16" s="97" t="str" cm="1">
        <f t="array" ref="G16">_xlfn.XLOOKUP(HCT6_HL[[#This Row],[SUIT NUMBER]],HCT6_CR[SUIT NUMBER],UPPER(HCT6_CR[CASE TYPE]),"")&amp;""</f>
        <v/>
      </c>
      <c r="H16" s="97" t="str" cm="1">
        <f t="array" ref="H16">_xlfn.XLOOKUP(HCT6_HL[[#This Row],[SUIT NUMBER]],HCT6_CR[SUIT NUMBER],UPPER(HCT6_CR[NATURE OF CLAIM]),"")&amp;""</f>
        <v/>
      </c>
      <c r="I16" s="99"/>
      <c r="J16" s="98"/>
      <c r="K16" s="100"/>
      <c r="L16" s="98"/>
      <c r="M16" s="99"/>
      <c r="N16" s="99"/>
      <c r="O16" s="102"/>
      <c r="P16" s="202"/>
    </row>
    <row r="17" spans="1:15" ht="18.75" x14ac:dyDescent="0.25">
      <c r="A17" s="261"/>
      <c r="B17" s="97" t="str" cm="1">
        <f t="array" ref="B17">IF(HCT6_HL[[#This Row],[SUIT NUMBER]]="","",ROW()-ROW(HCT6_HL[#Headers]))</f>
        <v/>
      </c>
      <c r="C17" s="98"/>
      <c r="D17" s="97" t="str" cm="1">
        <f t="array" ref="D17">_xlfn.XLOOKUP(HCT6_HL[[#This Row],[SUIT NUMBER]],HCT6_CR[SUIT NUMBER],UPPER(HCT6_CR[PARTIES]),"")&amp;""</f>
        <v/>
      </c>
      <c r="E17" s="97" t="str" cm="1">
        <f t="array" ref="E17">_xlfn.XLOOKUP(HCT6_HL[[#This Row],[SUIT NUMBER]],HCT6_CR[SUIT NUMBER],UPPER(HCT6_CR[CLAIMANT COUNSEL]),"")&amp;""</f>
        <v/>
      </c>
      <c r="F17" s="97" t="str" cm="1">
        <f t="array" ref="F17">_xlfn.XLOOKUP(HCT6_HL[[#This Row],[SUIT NUMBER]],HCT6_CR[SUIT NUMBER],UPPER(HCT6_CR[DEFENDANT COUNSEL]),"")&amp;""</f>
        <v/>
      </c>
      <c r="G17" s="97" t="str" cm="1">
        <f t="array" ref="G17">_xlfn.XLOOKUP(HCT6_HL[[#This Row],[SUIT NUMBER]],HCT6_CR[SUIT NUMBER],UPPER(HCT6_CR[CASE TYPE]),"")&amp;""</f>
        <v/>
      </c>
      <c r="H17" s="97" t="str" cm="1">
        <f t="array" ref="H17">_xlfn.XLOOKUP(HCT6_HL[[#This Row],[SUIT NUMBER]],HCT6_CR[SUIT NUMBER],UPPER(HCT6_CR[NATURE OF CLAIM]),"")&amp;""</f>
        <v/>
      </c>
      <c r="I17" s="99"/>
      <c r="J17" s="98"/>
      <c r="K17" s="100"/>
      <c r="L17" s="98"/>
      <c r="M17" s="99"/>
      <c r="N17" s="99"/>
      <c r="O17" s="102"/>
    </row>
    <row r="18" spans="1:15" ht="18.75" x14ac:dyDescent="0.25">
      <c r="A18" s="260"/>
      <c r="B18" s="97" t="str" cm="1">
        <f t="array" ref="B18">IF(HCT6_HL[[#This Row],[SUIT NUMBER]]="","",ROW()-ROW(HCT6_HL[#Headers]))</f>
        <v/>
      </c>
      <c r="C18" s="98"/>
      <c r="D18" s="256" t="str" cm="1">
        <f t="array" ref="D18">_xlfn.XLOOKUP(HCT6_HL[[#This Row],[SUIT NUMBER]],HCT6_CR[SUIT NUMBER],UPPER(HCT6_CR[PARTIES]),"")&amp;""</f>
        <v/>
      </c>
      <c r="E18" s="97" t="str" cm="1">
        <f t="array" ref="E18">_xlfn.XLOOKUP(HCT6_HL[[#This Row],[SUIT NUMBER]],HCT6_CR[SUIT NUMBER],UPPER(HCT6_CR[CLAIMANT COUNSEL]),"")&amp;""</f>
        <v/>
      </c>
      <c r="F18" s="97" t="str" cm="1">
        <f t="array" ref="F18">_xlfn.XLOOKUP(HCT6_HL[[#This Row],[SUIT NUMBER]],HCT6_CR[SUIT NUMBER],UPPER(HCT6_CR[DEFENDANT COUNSEL]),"")&amp;""</f>
        <v/>
      </c>
      <c r="G18" s="256" t="str" cm="1">
        <f t="array" ref="G18">_xlfn.XLOOKUP(HCT6_HL[[#This Row],[SUIT NUMBER]],HCT6_CR[SUIT NUMBER],UPPER(HCT6_CR[CASE TYPE]),"")&amp;""</f>
        <v/>
      </c>
      <c r="H18" s="256" t="str" cm="1">
        <f t="array" ref="H18">_xlfn.XLOOKUP(HCT6_HL[[#This Row],[SUIT NUMBER]],HCT6_CR[SUIT NUMBER],UPPER(HCT6_CR[NATURE OF CLAIM]),"")&amp;""</f>
        <v/>
      </c>
      <c r="I18" s="99"/>
      <c r="J18" s="98"/>
      <c r="K18" s="100"/>
      <c r="L18" s="98"/>
      <c r="M18" s="99"/>
      <c r="N18" s="99"/>
      <c r="O18" s="102"/>
    </row>
    <row r="19" spans="1:15" ht="18.75" x14ac:dyDescent="0.25">
      <c r="A19" s="263"/>
      <c r="B19" s="97" t="str" cm="1">
        <f t="array" ref="B19">IF(HCT6_HL[[#This Row],[SUIT NUMBER]]="","",ROW()-ROW(HCT6_HL[#Headers]))</f>
        <v/>
      </c>
      <c r="C19" s="98"/>
      <c r="D19" s="256" t="str" cm="1">
        <f t="array" ref="D19">_xlfn.XLOOKUP(HCT6_HL[[#This Row],[SUIT NUMBER]],HCT6_CR[SUIT NUMBER],UPPER(HCT6_CR[PARTIES]),"")&amp;""</f>
        <v/>
      </c>
      <c r="E19" s="97" t="str" cm="1">
        <f t="array" ref="E19">_xlfn.XLOOKUP(HCT6_HL[[#This Row],[SUIT NUMBER]],HCT6_CR[SUIT NUMBER],UPPER(HCT6_CR[CLAIMANT COUNSEL]),"")&amp;""</f>
        <v/>
      </c>
      <c r="F19" s="97" t="str" cm="1">
        <f t="array" ref="F19">_xlfn.XLOOKUP(HCT6_HL[[#This Row],[SUIT NUMBER]],HCT6_CR[SUIT NUMBER],UPPER(HCT6_CR[DEFENDANT COUNSEL]),"")&amp;""</f>
        <v/>
      </c>
      <c r="G19" s="256" t="str" cm="1">
        <f t="array" ref="G19">_xlfn.XLOOKUP(HCT6_HL[[#This Row],[SUIT NUMBER]],HCT6_CR[SUIT NUMBER],UPPER(HCT6_CR[CASE TYPE]),"")&amp;""</f>
        <v/>
      </c>
      <c r="H19" s="256" t="str" cm="1">
        <f t="array" ref="H19">_xlfn.XLOOKUP(HCT6_HL[[#This Row],[SUIT NUMBER]],HCT6_CR[SUIT NUMBER],UPPER(HCT6_CR[NATURE OF CLAIM]),"")&amp;""</f>
        <v/>
      </c>
      <c r="I19" s="99"/>
      <c r="J19" s="98"/>
      <c r="K19" s="100"/>
      <c r="L19" s="98"/>
      <c r="M19" s="99"/>
      <c r="N19" s="99"/>
      <c r="O19" s="102"/>
    </row>
    <row r="20" spans="1:15" x14ac:dyDescent="0.2">
      <c r="A20" s="264"/>
    </row>
    <row r="21" spans="1:15" x14ac:dyDescent="0.2">
      <c r="A21" s="259"/>
    </row>
    <row r="22" spans="1:15" x14ac:dyDescent="0.2">
      <c r="A22" s="258"/>
    </row>
    <row r="23" spans="1:15" x14ac:dyDescent="0.2">
      <c r="A23" s="257"/>
    </row>
    <row r="24" spans="1:15" x14ac:dyDescent="0.2">
      <c r="A24" s="262"/>
    </row>
    <row r="25" spans="1:15" x14ac:dyDescent="0.2">
      <c r="A25" s="261"/>
    </row>
    <row r="26" spans="1:15" x14ac:dyDescent="0.2">
      <c r="A26" s="260"/>
    </row>
    <row r="27" spans="1:15" x14ac:dyDescent="0.2">
      <c r="A27" s="263"/>
    </row>
    <row r="28" spans="1:15" x14ac:dyDescent="0.2">
      <c r="A28" s="264"/>
    </row>
    <row r="30" spans="1:15" x14ac:dyDescent="0.2">
      <c r="A30" s="259"/>
    </row>
    <row r="31" spans="1:15" x14ac:dyDescent="0.2">
      <c r="A31" s="258"/>
    </row>
    <row r="32" spans="1:15" x14ac:dyDescent="0.2">
      <c r="A32" s="257"/>
    </row>
    <row r="33" spans="1:1" x14ac:dyDescent="0.2">
      <c r="A33" s="262"/>
    </row>
    <row r="34" spans="1:1" x14ac:dyDescent="0.2">
      <c r="A34" s="261"/>
    </row>
    <row r="35" spans="1:1" x14ac:dyDescent="0.2">
      <c r="A35" s="260"/>
    </row>
    <row r="36" spans="1:1" x14ac:dyDescent="0.2">
      <c r="A36" s="263"/>
    </row>
    <row r="37" spans="1:1" x14ac:dyDescent="0.2">
      <c r="A37" s="264"/>
    </row>
    <row r="38" spans="1:1" x14ac:dyDescent="0.2">
      <c r="A38" s="259"/>
    </row>
    <row r="39" spans="1:1" x14ac:dyDescent="0.2">
      <c r="A39" s="258"/>
    </row>
    <row r="40" spans="1:1" x14ac:dyDescent="0.2">
      <c r="A40" s="257"/>
    </row>
    <row r="41" spans="1:1" x14ac:dyDescent="0.2">
      <c r="A41" s="262"/>
    </row>
    <row r="42" spans="1:1" x14ac:dyDescent="0.2">
      <c r="A42" s="261"/>
    </row>
    <row r="43" spans="1:1" x14ac:dyDescent="0.2">
      <c r="A43" s="260"/>
    </row>
    <row r="44" spans="1:1" x14ac:dyDescent="0.2">
      <c r="A44" s="263"/>
    </row>
    <row r="45" spans="1:1" x14ac:dyDescent="0.2">
      <c r="A45" s="264"/>
    </row>
    <row r="46" spans="1:1" x14ac:dyDescent="0.2">
      <c r="A46" s="259"/>
    </row>
    <row r="47" spans="1:1" x14ac:dyDescent="0.2">
      <c r="A47" s="258"/>
    </row>
    <row r="48" spans="1:1" x14ac:dyDescent="0.2">
      <c r="A48" s="257"/>
    </row>
    <row r="49" spans="1:1" x14ac:dyDescent="0.2">
      <c r="A49" s="262"/>
    </row>
    <row r="50" spans="1:1" x14ac:dyDescent="0.2">
      <c r="A50" s="261"/>
    </row>
    <row r="51" spans="1:1" x14ac:dyDescent="0.2">
      <c r="A51" s="260"/>
    </row>
    <row r="52" spans="1:1" x14ac:dyDescent="0.2">
      <c r="A52" s="263"/>
    </row>
    <row r="53" spans="1:1" x14ac:dyDescent="0.2">
      <c r="A53" s="264"/>
    </row>
    <row r="54" spans="1:1" x14ac:dyDescent="0.2">
      <c r="A54" s="259"/>
    </row>
    <row r="55" spans="1:1" x14ac:dyDescent="0.2">
      <c r="A55" s="258"/>
    </row>
    <row r="56" spans="1:1" x14ac:dyDescent="0.2">
      <c r="A56" s="257"/>
    </row>
    <row r="57" spans="1:1" x14ac:dyDescent="0.2">
      <c r="A57" s="262"/>
    </row>
    <row r="58" spans="1:1" x14ac:dyDescent="0.2">
      <c r="A58" s="261"/>
    </row>
    <row r="59" spans="1:1" x14ac:dyDescent="0.2">
      <c r="A59" s="260"/>
    </row>
    <row r="60" spans="1:1" x14ac:dyDescent="0.2">
      <c r="A60" s="263"/>
    </row>
    <row r="61" spans="1:1" x14ac:dyDescent="0.2">
      <c r="A61" s="264"/>
    </row>
    <row r="63" spans="1:1" x14ac:dyDescent="0.2">
      <c r="A63" s="259"/>
    </row>
    <row r="64" spans="1:1" x14ac:dyDescent="0.2">
      <c r="A64" s="258"/>
    </row>
    <row r="65" spans="1:1" x14ac:dyDescent="0.2">
      <c r="A65" s="257"/>
    </row>
    <row r="66" spans="1:1" x14ac:dyDescent="0.2">
      <c r="A66" s="262"/>
    </row>
    <row r="67" spans="1:1" x14ac:dyDescent="0.2">
      <c r="A67" s="261"/>
    </row>
    <row r="68" spans="1:1" x14ac:dyDescent="0.2">
      <c r="A68" s="260"/>
    </row>
    <row r="69" spans="1:1" x14ac:dyDescent="0.2">
      <c r="A69" s="263"/>
    </row>
    <row r="70" spans="1:1" x14ac:dyDescent="0.2">
      <c r="A70" s="264"/>
    </row>
    <row r="71" spans="1:1" x14ac:dyDescent="0.2">
      <c r="A71" s="259"/>
    </row>
    <row r="72" spans="1:1" x14ac:dyDescent="0.2">
      <c r="A72" s="258"/>
    </row>
    <row r="73" spans="1:1" x14ac:dyDescent="0.2">
      <c r="A73" s="257"/>
    </row>
    <row r="74" spans="1:1" x14ac:dyDescent="0.2">
      <c r="A74" s="262"/>
    </row>
    <row r="75" spans="1:1" x14ac:dyDescent="0.2">
      <c r="A75" s="261"/>
    </row>
    <row r="76" spans="1:1" x14ac:dyDescent="0.2">
      <c r="A76" s="260"/>
    </row>
    <row r="77" spans="1:1" x14ac:dyDescent="0.2">
      <c r="A77" s="263"/>
    </row>
    <row r="78" spans="1:1" x14ac:dyDescent="0.2">
      <c r="A78" s="264"/>
    </row>
    <row r="79" spans="1:1" x14ac:dyDescent="0.2">
      <c r="A79" s="259"/>
    </row>
    <row r="80" spans="1:1" x14ac:dyDescent="0.2">
      <c r="A80" s="258"/>
    </row>
    <row r="81" spans="1:1" x14ac:dyDescent="0.2">
      <c r="A81" s="257"/>
    </row>
    <row r="82" spans="1:1" x14ac:dyDescent="0.2">
      <c r="A82" s="262"/>
    </row>
    <row r="83" spans="1:1" x14ac:dyDescent="0.2">
      <c r="A83" s="261"/>
    </row>
    <row r="84" spans="1:1" x14ac:dyDescent="0.2">
      <c r="A84" s="260"/>
    </row>
    <row r="85" spans="1:1" x14ac:dyDescent="0.2">
      <c r="A85" s="263"/>
    </row>
    <row r="86" spans="1:1" x14ac:dyDescent="0.2">
      <c r="A86" s="264"/>
    </row>
    <row r="87" spans="1:1" x14ac:dyDescent="0.2">
      <c r="A87" s="259"/>
    </row>
    <row r="88" spans="1:1" x14ac:dyDescent="0.2">
      <c r="A88" s="258"/>
    </row>
    <row r="89" spans="1:1" x14ac:dyDescent="0.2">
      <c r="A89" s="257"/>
    </row>
    <row r="90" spans="1:1" x14ac:dyDescent="0.2">
      <c r="A90" s="262"/>
    </row>
    <row r="91" spans="1:1" x14ac:dyDescent="0.2">
      <c r="A91" s="261"/>
    </row>
    <row r="92" spans="1:1" x14ac:dyDescent="0.2">
      <c r="A92" s="260"/>
    </row>
    <row r="93" spans="1:1" x14ac:dyDescent="0.2">
      <c r="A93" s="263"/>
    </row>
    <row r="94" spans="1:1" x14ac:dyDescent="0.2">
      <c r="A94" s="264"/>
    </row>
    <row r="96" spans="1:1" x14ac:dyDescent="0.2">
      <c r="A96" s="259"/>
    </row>
    <row r="97" spans="1:1" x14ac:dyDescent="0.2">
      <c r="A97" s="258"/>
    </row>
    <row r="98" spans="1:1" x14ac:dyDescent="0.2">
      <c r="A98" s="257"/>
    </row>
    <row r="99" spans="1:1" x14ac:dyDescent="0.2">
      <c r="A99" s="262"/>
    </row>
    <row r="100" spans="1:1" x14ac:dyDescent="0.2">
      <c r="A100" s="261"/>
    </row>
    <row r="101" spans="1:1" x14ac:dyDescent="0.2">
      <c r="A101" s="260"/>
    </row>
    <row r="102" spans="1:1" x14ac:dyDescent="0.2">
      <c r="A102" s="263"/>
    </row>
    <row r="103" spans="1:1" x14ac:dyDescent="0.2">
      <c r="A103" s="264"/>
    </row>
    <row r="104" spans="1:1" x14ac:dyDescent="0.2">
      <c r="A104" s="259"/>
    </row>
    <row r="105" spans="1:1" x14ac:dyDescent="0.2">
      <c r="A105" s="258"/>
    </row>
    <row r="106" spans="1:1" x14ac:dyDescent="0.2">
      <c r="A106" s="257"/>
    </row>
    <row r="107" spans="1:1" x14ac:dyDescent="0.2">
      <c r="A107" s="262"/>
    </row>
    <row r="108" spans="1:1" x14ac:dyDescent="0.2">
      <c r="A108" s="261"/>
    </row>
    <row r="109" spans="1:1" x14ac:dyDescent="0.2">
      <c r="A109" s="260"/>
    </row>
    <row r="110" spans="1:1" x14ac:dyDescent="0.2">
      <c r="A110" s="263"/>
    </row>
    <row r="111" spans="1:1" x14ac:dyDescent="0.2">
      <c r="A111" s="264"/>
    </row>
    <row r="112" spans="1:1" x14ac:dyDescent="0.2">
      <c r="A112" s="259"/>
    </row>
    <row r="113" spans="1:1" x14ac:dyDescent="0.2">
      <c r="A113" s="258"/>
    </row>
    <row r="114" spans="1:1" x14ac:dyDescent="0.2">
      <c r="A114" s="257"/>
    </row>
    <row r="115" spans="1:1" x14ac:dyDescent="0.2">
      <c r="A115" s="262"/>
    </row>
    <row r="116" spans="1:1" x14ac:dyDescent="0.2">
      <c r="A116" s="261"/>
    </row>
    <row r="117" spans="1:1" x14ac:dyDescent="0.2">
      <c r="A117" s="260"/>
    </row>
    <row r="118" spans="1:1" x14ac:dyDescent="0.2">
      <c r="A118" s="263"/>
    </row>
    <row r="119" spans="1:1" x14ac:dyDescent="0.2">
      <c r="A119" s="264"/>
    </row>
    <row r="120" spans="1:1" x14ac:dyDescent="0.2">
      <c r="A120" s="259"/>
    </row>
    <row r="121" spans="1:1" x14ac:dyDescent="0.2">
      <c r="A121" s="258"/>
    </row>
    <row r="122" spans="1:1" x14ac:dyDescent="0.2">
      <c r="A122" s="257"/>
    </row>
    <row r="123" spans="1:1" x14ac:dyDescent="0.2">
      <c r="A123" s="262"/>
    </row>
    <row r="124" spans="1:1" x14ac:dyDescent="0.2">
      <c r="A124" s="261"/>
    </row>
    <row r="125" spans="1:1" x14ac:dyDescent="0.2">
      <c r="A125" s="260"/>
    </row>
    <row r="126" spans="1:1" x14ac:dyDescent="0.2">
      <c r="A126" s="263"/>
    </row>
    <row r="127" spans="1:1" x14ac:dyDescent="0.2">
      <c r="A127" s="264"/>
    </row>
    <row r="129" spans="1:1" x14ac:dyDescent="0.2">
      <c r="A129" s="259"/>
    </row>
    <row r="130" spans="1:1" x14ac:dyDescent="0.2">
      <c r="A130" s="258"/>
    </row>
    <row r="131" spans="1:1" x14ac:dyDescent="0.2">
      <c r="A131" s="257"/>
    </row>
    <row r="132" spans="1:1" x14ac:dyDescent="0.2">
      <c r="A132" s="262"/>
    </row>
    <row r="133" spans="1:1" x14ac:dyDescent="0.2">
      <c r="A133" s="261"/>
    </row>
    <row r="134" spans="1:1" x14ac:dyDescent="0.2">
      <c r="A134" s="260"/>
    </row>
    <row r="135" spans="1:1" x14ac:dyDescent="0.2">
      <c r="A135" s="263"/>
    </row>
    <row r="136" spans="1:1" x14ac:dyDescent="0.2">
      <c r="A136" s="264"/>
    </row>
    <row r="137" spans="1:1" x14ac:dyDescent="0.2">
      <c r="A137" s="259"/>
    </row>
    <row r="138" spans="1:1" x14ac:dyDescent="0.2">
      <c r="A138" s="258"/>
    </row>
    <row r="139" spans="1:1" x14ac:dyDescent="0.2">
      <c r="A139" s="257"/>
    </row>
    <row r="140" spans="1:1" x14ac:dyDescent="0.2">
      <c r="A140" s="262"/>
    </row>
    <row r="141" spans="1:1" x14ac:dyDescent="0.2">
      <c r="A141" s="261"/>
    </row>
    <row r="142" spans="1:1" x14ac:dyDescent="0.2">
      <c r="A142" s="260"/>
    </row>
    <row r="143" spans="1:1" x14ac:dyDescent="0.2">
      <c r="A143" s="263"/>
    </row>
    <row r="144" spans="1:1" x14ac:dyDescent="0.2">
      <c r="A144" s="264"/>
    </row>
    <row r="145" spans="1:1" x14ac:dyDescent="0.2">
      <c r="A145" s="259"/>
    </row>
    <row r="146" spans="1:1" x14ac:dyDescent="0.2">
      <c r="A146" s="258"/>
    </row>
    <row r="147" spans="1:1" x14ac:dyDescent="0.2">
      <c r="A147" s="257"/>
    </row>
    <row r="148" spans="1:1" x14ac:dyDescent="0.2">
      <c r="A148" s="262"/>
    </row>
    <row r="149" spans="1:1" x14ac:dyDescent="0.2">
      <c r="A149" s="261"/>
    </row>
    <row r="150" spans="1:1" x14ac:dyDescent="0.2">
      <c r="A150" s="260"/>
    </row>
    <row r="151" spans="1:1" x14ac:dyDescent="0.2">
      <c r="A151" s="263"/>
    </row>
    <row r="152" spans="1:1" x14ac:dyDescent="0.2">
      <c r="A152" s="264"/>
    </row>
    <row r="153" spans="1:1" x14ac:dyDescent="0.2">
      <c r="A153" s="259"/>
    </row>
    <row r="154" spans="1:1" x14ac:dyDescent="0.2">
      <c r="A154" s="258"/>
    </row>
    <row r="155" spans="1:1" x14ac:dyDescent="0.2">
      <c r="A155" s="257"/>
    </row>
    <row r="156" spans="1:1" x14ac:dyDescent="0.2">
      <c r="A156" s="262"/>
    </row>
    <row r="157" spans="1:1" x14ac:dyDescent="0.2">
      <c r="A157" s="261"/>
    </row>
    <row r="158" spans="1:1" x14ac:dyDescent="0.2">
      <c r="A158" s="260"/>
    </row>
    <row r="159" spans="1:1" x14ac:dyDescent="0.2">
      <c r="A159" s="263"/>
    </row>
    <row r="160" spans="1:1" x14ac:dyDescent="0.2">
      <c r="A160" s="264"/>
    </row>
    <row r="162" spans="1:1" x14ac:dyDescent="0.2">
      <c r="A162" s="259"/>
    </row>
    <row r="163" spans="1:1" x14ac:dyDescent="0.2">
      <c r="A163" s="258"/>
    </row>
    <row r="164" spans="1:1" x14ac:dyDescent="0.2">
      <c r="A164" s="257"/>
    </row>
    <row r="165" spans="1:1" x14ac:dyDescent="0.2">
      <c r="A165" s="262"/>
    </row>
    <row r="166" spans="1:1" x14ac:dyDescent="0.2">
      <c r="A166" s="261"/>
    </row>
    <row r="167" spans="1:1" x14ac:dyDescent="0.2">
      <c r="A167" s="260"/>
    </row>
    <row r="168" spans="1:1" x14ac:dyDescent="0.2">
      <c r="A168" s="263"/>
    </row>
    <row r="169" spans="1:1" x14ac:dyDescent="0.2">
      <c r="A169" s="264"/>
    </row>
    <row r="170" spans="1:1" x14ac:dyDescent="0.2">
      <c r="A170" s="259"/>
    </row>
    <row r="171" spans="1:1" x14ac:dyDescent="0.2">
      <c r="A171" s="258"/>
    </row>
    <row r="172" spans="1:1" x14ac:dyDescent="0.2">
      <c r="A172" s="257"/>
    </row>
    <row r="173" spans="1:1" x14ac:dyDescent="0.2">
      <c r="A173" s="262"/>
    </row>
    <row r="174" spans="1:1" x14ac:dyDescent="0.2">
      <c r="A174" s="261"/>
    </row>
    <row r="175" spans="1:1" x14ac:dyDescent="0.2">
      <c r="A175" s="260"/>
    </row>
    <row r="176" spans="1:1" x14ac:dyDescent="0.2">
      <c r="A176" s="263"/>
    </row>
    <row r="177" spans="1:1" x14ac:dyDescent="0.2">
      <c r="A177" s="264"/>
    </row>
    <row r="178" spans="1:1" x14ac:dyDescent="0.2">
      <c r="A178" s="259"/>
    </row>
    <row r="179" spans="1:1" x14ac:dyDescent="0.2">
      <c r="A179" s="258"/>
    </row>
    <row r="180" spans="1:1" x14ac:dyDescent="0.2">
      <c r="A180" s="257"/>
    </row>
    <row r="181" spans="1:1" x14ac:dyDescent="0.2">
      <c r="A181" s="262"/>
    </row>
    <row r="182" spans="1:1" x14ac:dyDescent="0.2">
      <c r="A182" s="261"/>
    </row>
    <row r="183" spans="1:1" x14ac:dyDescent="0.2">
      <c r="A183" s="260"/>
    </row>
    <row r="184" spans="1:1" x14ac:dyDescent="0.2">
      <c r="A184" s="263"/>
    </row>
    <row r="185" spans="1:1" x14ac:dyDescent="0.2">
      <c r="A185" s="264"/>
    </row>
    <row r="186" spans="1:1" x14ac:dyDescent="0.2">
      <c r="A186" s="259"/>
    </row>
    <row r="187" spans="1:1" x14ac:dyDescent="0.2">
      <c r="A187" s="258"/>
    </row>
    <row r="188" spans="1:1" x14ac:dyDescent="0.2">
      <c r="A188" s="257"/>
    </row>
    <row r="189" spans="1:1" x14ac:dyDescent="0.2">
      <c r="A189" s="262"/>
    </row>
    <row r="190" spans="1:1" x14ac:dyDescent="0.2">
      <c r="A190" s="261"/>
    </row>
    <row r="191" spans="1:1" x14ac:dyDescent="0.2">
      <c r="A191" s="260"/>
    </row>
    <row r="192" spans="1:1" x14ac:dyDescent="0.2">
      <c r="A192" s="263"/>
    </row>
    <row r="193" spans="1:1" x14ac:dyDescent="0.2">
      <c r="A193" s="264"/>
    </row>
    <row r="195" spans="1:1" x14ac:dyDescent="0.2">
      <c r="A195" s="259"/>
    </row>
    <row r="196" spans="1:1" x14ac:dyDescent="0.2">
      <c r="A196" s="258"/>
    </row>
    <row r="197" spans="1:1" x14ac:dyDescent="0.2">
      <c r="A197" s="257"/>
    </row>
    <row r="198" spans="1:1" x14ac:dyDescent="0.2">
      <c r="A198" s="262"/>
    </row>
    <row r="199" spans="1:1" x14ac:dyDescent="0.2">
      <c r="A199" s="261"/>
    </row>
    <row r="200" spans="1:1" x14ac:dyDescent="0.2">
      <c r="A200" s="260"/>
    </row>
    <row r="201" spans="1:1" x14ac:dyDescent="0.2">
      <c r="A201" s="263"/>
    </row>
    <row r="202" spans="1:1" x14ac:dyDescent="0.2">
      <c r="A202" s="264"/>
    </row>
    <row r="203" spans="1:1" x14ac:dyDescent="0.2">
      <c r="A203" s="259"/>
    </row>
    <row r="204" spans="1:1" x14ac:dyDescent="0.2">
      <c r="A204" s="258"/>
    </row>
    <row r="205" spans="1:1" x14ac:dyDescent="0.2">
      <c r="A205" s="257"/>
    </row>
    <row r="206" spans="1:1" x14ac:dyDescent="0.2">
      <c r="A206" s="262"/>
    </row>
    <row r="207" spans="1:1" x14ac:dyDescent="0.2">
      <c r="A207" s="261"/>
    </row>
    <row r="208" spans="1:1" x14ac:dyDescent="0.2">
      <c r="A208" s="260"/>
    </row>
    <row r="209" spans="1:1" x14ac:dyDescent="0.2">
      <c r="A209" s="263"/>
    </row>
    <row r="210" spans="1:1" x14ac:dyDescent="0.2">
      <c r="A210" s="264"/>
    </row>
    <row r="211" spans="1:1" x14ac:dyDescent="0.2">
      <c r="A211" s="259"/>
    </row>
    <row r="212" spans="1:1" x14ac:dyDescent="0.2">
      <c r="A212" s="258"/>
    </row>
    <row r="213" spans="1:1" x14ac:dyDescent="0.2">
      <c r="A213" s="257"/>
    </row>
    <row r="214" spans="1:1" x14ac:dyDescent="0.2">
      <c r="A214" s="262"/>
    </row>
    <row r="215" spans="1:1" x14ac:dyDescent="0.2">
      <c r="A215" s="261"/>
    </row>
    <row r="216" spans="1:1" x14ac:dyDescent="0.2">
      <c r="A216" s="260"/>
    </row>
    <row r="217" spans="1:1" x14ac:dyDescent="0.2">
      <c r="A217" s="263"/>
    </row>
    <row r="218" spans="1:1" x14ac:dyDescent="0.2">
      <c r="A218" s="264"/>
    </row>
    <row r="219" spans="1:1" x14ac:dyDescent="0.2">
      <c r="A219" s="259"/>
    </row>
    <row r="220" spans="1:1" x14ac:dyDescent="0.2">
      <c r="A220" s="258"/>
    </row>
    <row r="221" spans="1:1" x14ac:dyDescent="0.2">
      <c r="A221" s="257"/>
    </row>
    <row r="222" spans="1:1" x14ac:dyDescent="0.2">
      <c r="A222" s="262"/>
    </row>
    <row r="223" spans="1:1" x14ac:dyDescent="0.2">
      <c r="A223" s="261"/>
    </row>
    <row r="224" spans="1:1" x14ac:dyDescent="0.2">
      <c r="A224" s="260"/>
    </row>
    <row r="225" spans="1:1" x14ac:dyDescent="0.2">
      <c r="A225" s="263"/>
    </row>
    <row r="226" spans="1:1" x14ac:dyDescent="0.2">
      <c r="A226" s="264"/>
    </row>
    <row r="228" spans="1:1" x14ac:dyDescent="0.2">
      <c r="A228" s="259"/>
    </row>
    <row r="229" spans="1:1" x14ac:dyDescent="0.2">
      <c r="A229" s="258"/>
    </row>
    <row r="230" spans="1:1" x14ac:dyDescent="0.2">
      <c r="A230" s="257"/>
    </row>
    <row r="231" spans="1:1" x14ac:dyDescent="0.2">
      <c r="A231" s="262"/>
    </row>
    <row r="232" spans="1:1" x14ac:dyDescent="0.2">
      <c r="A232" s="261"/>
    </row>
    <row r="233" spans="1:1" x14ac:dyDescent="0.2">
      <c r="A233" s="260"/>
    </row>
    <row r="234" spans="1:1" x14ac:dyDescent="0.2">
      <c r="A234" s="263"/>
    </row>
    <row r="235" spans="1:1" x14ac:dyDescent="0.2">
      <c r="A235" s="264"/>
    </row>
    <row r="236" spans="1:1" x14ac:dyDescent="0.2">
      <c r="A236" s="259"/>
    </row>
    <row r="237" spans="1:1" x14ac:dyDescent="0.2">
      <c r="A237" s="258"/>
    </row>
    <row r="238" spans="1:1" x14ac:dyDescent="0.2">
      <c r="A238" s="257"/>
    </row>
    <row r="239" spans="1:1" x14ac:dyDescent="0.2">
      <c r="A239" s="262"/>
    </row>
    <row r="240" spans="1:1" x14ac:dyDescent="0.2">
      <c r="A240" s="261"/>
    </row>
    <row r="241" spans="1:1" x14ac:dyDescent="0.2">
      <c r="A241" s="260"/>
    </row>
    <row r="242" spans="1:1" x14ac:dyDescent="0.2">
      <c r="A242" s="263"/>
    </row>
    <row r="243" spans="1:1" x14ac:dyDescent="0.2">
      <c r="A243" s="264"/>
    </row>
    <row r="244" spans="1:1" x14ac:dyDescent="0.2">
      <c r="A244" s="259"/>
    </row>
    <row r="245" spans="1:1" x14ac:dyDescent="0.2">
      <c r="A245" s="258"/>
    </row>
    <row r="246" spans="1:1" x14ac:dyDescent="0.2">
      <c r="A246" s="257"/>
    </row>
    <row r="247" spans="1:1" x14ac:dyDescent="0.2">
      <c r="A247" s="262"/>
    </row>
    <row r="248" spans="1:1" x14ac:dyDescent="0.2">
      <c r="A248" s="261"/>
    </row>
    <row r="249" spans="1:1" x14ac:dyDescent="0.2">
      <c r="A249" s="260"/>
    </row>
    <row r="250" spans="1:1" x14ac:dyDescent="0.2">
      <c r="A250" s="263"/>
    </row>
    <row r="251" spans="1:1" x14ac:dyDescent="0.2">
      <c r="A251" s="264"/>
    </row>
    <row r="252" spans="1:1" x14ac:dyDescent="0.2">
      <c r="A252" s="259"/>
    </row>
    <row r="253" spans="1:1" x14ac:dyDescent="0.2">
      <c r="A253" s="258"/>
    </row>
    <row r="254" spans="1:1" x14ac:dyDescent="0.2">
      <c r="A254" s="257"/>
    </row>
    <row r="255" spans="1:1" x14ac:dyDescent="0.2">
      <c r="A255" s="262"/>
    </row>
    <row r="256" spans="1:1" x14ac:dyDescent="0.2">
      <c r="A256" s="261"/>
    </row>
    <row r="257" spans="1:1" x14ac:dyDescent="0.2">
      <c r="A257" s="260"/>
    </row>
    <row r="258" spans="1:1" x14ac:dyDescent="0.2">
      <c r="A258" s="263"/>
    </row>
    <row r="259" spans="1:1" x14ac:dyDescent="0.2">
      <c r="A259" s="264"/>
    </row>
    <row r="261" spans="1:1" x14ac:dyDescent="0.2">
      <c r="A261" s="259"/>
    </row>
    <row r="262" spans="1:1" x14ac:dyDescent="0.2">
      <c r="A262" s="258"/>
    </row>
    <row r="263" spans="1:1" x14ac:dyDescent="0.2">
      <c r="A263" s="257"/>
    </row>
    <row r="264" spans="1:1" x14ac:dyDescent="0.2">
      <c r="A264" s="262"/>
    </row>
    <row r="265" spans="1:1" x14ac:dyDescent="0.2">
      <c r="A265" s="261"/>
    </row>
    <row r="266" spans="1:1" x14ac:dyDescent="0.2">
      <c r="A266" s="260"/>
    </row>
    <row r="267" spans="1:1" x14ac:dyDescent="0.2">
      <c r="A267" s="263"/>
    </row>
    <row r="268" spans="1:1" x14ac:dyDescent="0.2">
      <c r="A268" s="264"/>
    </row>
    <row r="269" spans="1:1" x14ac:dyDescent="0.2">
      <c r="A269" s="259"/>
    </row>
    <row r="270" spans="1:1" x14ac:dyDescent="0.2">
      <c r="A270" s="258"/>
    </row>
    <row r="271" spans="1:1" x14ac:dyDescent="0.2">
      <c r="A271" s="257"/>
    </row>
    <row r="272" spans="1:1" x14ac:dyDescent="0.2">
      <c r="A272" s="262"/>
    </row>
    <row r="273" spans="1:1" x14ac:dyDescent="0.2">
      <c r="A273" s="261"/>
    </row>
    <row r="274" spans="1:1" x14ac:dyDescent="0.2">
      <c r="A274" s="260"/>
    </row>
    <row r="275" spans="1:1" x14ac:dyDescent="0.2">
      <c r="A275" s="263"/>
    </row>
    <row r="276" spans="1:1" x14ac:dyDescent="0.2">
      <c r="A276" s="264"/>
    </row>
    <row r="277" spans="1:1" x14ac:dyDescent="0.2">
      <c r="A277" s="259"/>
    </row>
    <row r="278" spans="1:1" x14ac:dyDescent="0.2">
      <c r="A278" s="258"/>
    </row>
    <row r="279" spans="1:1" x14ac:dyDescent="0.2">
      <c r="A279" s="257"/>
    </row>
    <row r="280" spans="1:1" x14ac:dyDescent="0.2">
      <c r="A280" s="262"/>
    </row>
    <row r="281" spans="1:1" x14ac:dyDescent="0.2">
      <c r="A281" s="261"/>
    </row>
    <row r="282" spans="1:1" x14ac:dyDescent="0.2">
      <c r="A282" s="260"/>
    </row>
    <row r="283" spans="1:1" x14ac:dyDescent="0.2">
      <c r="A283" s="263"/>
    </row>
    <row r="284" spans="1:1" x14ac:dyDescent="0.2">
      <c r="A284" s="264"/>
    </row>
    <row r="285" spans="1:1" x14ac:dyDescent="0.2">
      <c r="A285" s="259"/>
    </row>
    <row r="286" spans="1:1" x14ac:dyDescent="0.2">
      <c r="A286" s="258"/>
    </row>
    <row r="287" spans="1:1" x14ac:dyDescent="0.2">
      <c r="A287" s="257"/>
    </row>
    <row r="288" spans="1:1" x14ac:dyDescent="0.2">
      <c r="A288" s="262"/>
    </row>
    <row r="289" spans="1:1" x14ac:dyDescent="0.2">
      <c r="A289" s="261"/>
    </row>
    <row r="290" spans="1:1" x14ac:dyDescent="0.2">
      <c r="A290" s="260"/>
    </row>
    <row r="291" spans="1:1" x14ac:dyDescent="0.2">
      <c r="A291" s="263"/>
    </row>
    <row r="292" spans="1:1" x14ac:dyDescent="0.2">
      <c r="A292" s="264"/>
    </row>
    <row r="294" spans="1:1" x14ac:dyDescent="0.2">
      <c r="A294" s="259"/>
    </row>
    <row r="295" spans="1:1" x14ac:dyDescent="0.2">
      <c r="A295" s="258"/>
    </row>
    <row r="296" spans="1:1" x14ac:dyDescent="0.2">
      <c r="A296" s="257"/>
    </row>
    <row r="297" spans="1:1" x14ac:dyDescent="0.2">
      <c r="A297" s="262"/>
    </row>
    <row r="298" spans="1:1" x14ac:dyDescent="0.2">
      <c r="A298" s="261"/>
    </row>
    <row r="299" spans="1:1" x14ac:dyDescent="0.2">
      <c r="A299" s="260"/>
    </row>
    <row r="300" spans="1:1" x14ac:dyDescent="0.2">
      <c r="A300" s="263"/>
    </row>
    <row r="301" spans="1:1" x14ac:dyDescent="0.2">
      <c r="A301" s="264"/>
    </row>
    <row r="302" spans="1:1" x14ac:dyDescent="0.2">
      <c r="A302" s="259"/>
    </row>
    <row r="303" spans="1:1" x14ac:dyDescent="0.2">
      <c r="A303" s="258"/>
    </row>
    <row r="304" spans="1:1" x14ac:dyDescent="0.2">
      <c r="A304" s="257"/>
    </row>
    <row r="305" spans="1:1" x14ac:dyDescent="0.2">
      <c r="A305" s="262"/>
    </row>
    <row r="306" spans="1:1" x14ac:dyDescent="0.2">
      <c r="A306" s="261"/>
    </row>
    <row r="307" spans="1:1" x14ac:dyDescent="0.2">
      <c r="A307" s="260"/>
    </row>
    <row r="308" spans="1:1" x14ac:dyDescent="0.2">
      <c r="A308" s="263"/>
    </row>
    <row r="309" spans="1:1" x14ac:dyDescent="0.2">
      <c r="A309" s="264"/>
    </row>
    <row r="310" spans="1:1" x14ac:dyDescent="0.2">
      <c r="A310" s="259"/>
    </row>
    <row r="311" spans="1:1" x14ac:dyDescent="0.2">
      <c r="A311" s="258"/>
    </row>
    <row r="312" spans="1:1" x14ac:dyDescent="0.2">
      <c r="A312" s="257"/>
    </row>
    <row r="313" spans="1:1" x14ac:dyDescent="0.2">
      <c r="A313" s="262"/>
    </row>
    <row r="314" spans="1:1" x14ac:dyDescent="0.2">
      <c r="A314" s="261"/>
    </row>
    <row r="315" spans="1:1" x14ac:dyDescent="0.2">
      <c r="A315" s="260"/>
    </row>
    <row r="316" spans="1:1" x14ac:dyDescent="0.2">
      <c r="A316" s="263"/>
    </row>
    <row r="317" spans="1:1" x14ac:dyDescent="0.2">
      <c r="A317" s="264"/>
    </row>
    <row r="318" spans="1:1" x14ac:dyDescent="0.2">
      <c r="A318" s="259"/>
    </row>
    <row r="319" spans="1:1" x14ac:dyDescent="0.2">
      <c r="A319" s="258"/>
    </row>
    <row r="320" spans="1:1" x14ac:dyDescent="0.2">
      <c r="A320" s="257"/>
    </row>
    <row r="321" spans="1:1" x14ac:dyDescent="0.2">
      <c r="A321" s="262"/>
    </row>
    <row r="322" spans="1:1" x14ac:dyDescent="0.2">
      <c r="A322" s="261"/>
    </row>
    <row r="323" spans="1:1" x14ac:dyDescent="0.2">
      <c r="A323" s="260"/>
    </row>
    <row r="324" spans="1:1" x14ac:dyDescent="0.2">
      <c r="A324" s="263"/>
    </row>
    <row r="325" spans="1:1" x14ac:dyDescent="0.2">
      <c r="A325" s="264"/>
    </row>
    <row r="327" spans="1:1" x14ac:dyDescent="0.2">
      <c r="A327" s="259"/>
    </row>
    <row r="328" spans="1:1" x14ac:dyDescent="0.2">
      <c r="A328" s="258"/>
    </row>
    <row r="329" spans="1:1" x14ac:dyDescent="0.2">
      <c r="A329" s="257"/>
    </row>
    <row r="330" spans="1:1" x14ac:dyDescent="0.2">
      <c r="A330" s="262"/>
    </row>
    <row r="331" spans="1:1" x14ac:dyDescent="0.2">
      <c r="A331" s="261"/>
    </row>
    <row r="332" spans="1:1" x14ac:dyDescent="0.2">
      <c r="A332" s="260"/>
    </row>
    <row r="333" spans="1:1" x14ac:dyDescent="0.2">
      <c r="A333" s="263"/>
    </row>
    <row r="334" spans="1:1" x14ac:dyDescent="0.2">
      <c r="A334" s="264"/>
    </row>
    <row r="335" spans="1:1" x14ac:dyDescent="0.2">
      <c r="A335" s="259"/>
    </row>
    <row r="336" spans="1:1" x14ac:dyDescent="0.2">
      <c r="A336" s="258"/>
    </row>
    <row r="337" spans="1:1" x14ac:dyDescent="0.2">
      <c r="A337" s="257"/>
    </row>
    <row r="338" spans="1:1" x14ac:dyDescent="0.2">
      <c r="A338" s="262"/>
    </row>
    <row r="339" spans="1:1" x14ac:dyDescent="0.2">
      <c r="A339" s="261"/>
    </row>
    <row r="340" spans="1:1" x14ac:dyDescent="0.2">
      <c r="A340" s="260"/>
    </row>
    <row r="341" spans="1:1" x14ac:dyDescent="0.2">
      <c r="A341" s="263"/>
    </row>
    <row r="342" spans="1:1" x14ac:dyDescent="0.2">
      <c r="A342" s="264"/>
    </row>
    <row r="343" spans="1:1" x14ac:dyDescent="0.2">
      <c r="A343" s="259"/>
    </row>
    <row r="344" spans="1:1" x14ac:dyDescent="0.2">
      <c r="A344" s="258"/>
    </row>
    <row r="345" spans="1:1" x14ac:dyDescent="0.2">
      <c r="A345" s="257"/>
    </row>
    <row r="346" spans="1:1" x14ac:dyDescent="0.2">
      <c r="A346" s="262"/>
    </row>
    <row r="347" spans="1:1" x14ac:dyDescent="0.2">
      <c r="A347" s="261"/>
    </row>
    <row r="348" spans="1:1" x14ac:dyDescent="0.2">
      <c r="A348" s="260"/>
    </row>
    <row r="349" spans="1:1" x14ac:dyDescent="0.2">
      <c r="A349" s="263"/>
    </row>
    <row r="350" spans="1:1" x14ac:dyDescent="0.2">
      <c r="A350" s="264"/>
    </row>
    <row r="351" spans="1:1" x14ac:dyDescent="0.2">
      <c r="A351" s="259"/>
    </row>
    <row r="352" spans="1:1" x14ac:dyDescent="0.2">
      <c r="A352" s="258"/>
    </row>
    <row r="353" spans="1:1" x14ac:dyDescent="0.2">
      <c r="A353" s="257"/>
    </row>
    <row r="354" spans="1:1" x14ac:dyDescent="0.2">
      <c r="A354" s="262"/>
    </row>
    <row r="355" spans="1:1" x14ac:dyDescent="0.2">
      <c r="A355" s="261"/>
    </row>
    <row r="356" spans="1:1" x14ac:dyDescent="0.2">
      <c r="A356" s="260"/>
    </row>
    <row r="357" spans="1:1" x14ac:dyDescent="0.2">
      <c r="A357" s="263"/>
    </row>
    <row r="358" spans="1:1" x14ac:dyDescent="0.2">
      <c r="A358" s="264"/>
    </row>
    <row r="360" spans="1:1" x14ac:dyDescent="0.2">
      <c r="A360" s="259"/>
    </row>
    <row r="361" spans="1:1" x14ac:dyDescent="0.2">
      <c r="A361" s="258"/>
    </row>
    <row r="362" spans="1:1" x14ac:dyDescent="0.2">
      <c r="A362" s="257"/>
    </row>
    <row r="363" spans="1:1" x14ac:dyDescent="0.2">
      <c r="A363" s="262"/>
    </row>
    <row r="364" spans="1:1" x14ac:dyDescent="0.2">
      <c r="A364" s="261"/>
    </row>
    <row r="365" spans="1:1" x14ac:dyDescent="0.2">
      <c r="A365" s="260"/>
    </row>
    <row r="366" spans="1:1" x14ac:dyDescent="0.2">
      <c r="A366" s="263"/>
    </row>
    <row r="367" spans="1:1" x14ac:dyDescent="0.2">
      <c r="A367" s="264"/>
    </row>
    <row r="368" spans="1:1" x14ac:dyDescent="0.2">
      <c r="A368" s="259"/>
    </row>
    <row r="369" spans="1:1" x14ac:dyDescent="0.2">
      <c r="A369" s="258"/>
    </row>
    <row r="370" spans="1:1" x14ac:dyDescent="0.2">
      <c r="A370" s="257"/>
    </row>
    <row r="371" spans="1:1" x14ac:dyDescent="0.2">
      <c r="A371" s="262"/>
    </row>
    <row r="372" spans="1:1" x14ac:dyDescent="0.2">
      <c r="A372" s="261"/>
    </row>
    <row r="373" spans="1:1" x14ac:dyDescent="0.2">
      <c r="A373" s="260"/>
    </row>
    <row r="374" spans="1:1" x14ac:dyDescent="0.2">
      <c r="A374" s="263"/>
    </row>
    <row r="375" spans="1:1" x14ac:dyDescent="0.2">
      <c r="A375" s="264"/>
    </row>
    <row r="376" spans="1:1" x14ac:dyDescent="0.2">
      <c r="A376" s="259"/>
    </row>
    <row r="377" spans="1:1" x14ac:dyDescent="0.2">
      <c r="A377" s="258"/>
    </row>
    <row r="378" spans="1:1" x14ac:dyDescent="0.2">
      <c r="A378" s="257"/>
    </row>
    <row r="379" spans="1:1" x14ac:dyDescent="0.2">
      <c r="A379" s="262"/>
    </row>
    <row r="380" spans="1:1" x14ac:dyDescent="0.2">
      <c r="A380" s="261"/>
    </row>
    <row r="381" spans="1:1" x14ac:dyDescent="0.2">
      <c r="A381" s="260"/>
    </row>
    <row r="382" spans="1:1" x14ac:dyDescent="0.2">
      <c r="A382" s="263"/>
    </row>
    <row r="383" spans="1:1" x14ac:dyDescent="0.2">
      <c r="A383" s="264"/>
    </row>
    <row r="384" spans="1:1" x14ac:dyDescent="0.2">
      <c r="A384" s="259"/>
    </row>
    <row r="385" spans="1:1" x14ac:dyDescent="0.2">
      <c r="A385" s="258"/>
    </row>
    <row r="386" spans="1:1" x14ac:dyDescent="0.2">
      <c r="A386" s="257"/>
    </row>
    <row r="387" spans="1:1" x14ac:dyDescent="0.2">
      <c r="A387" s="262"/>
    </row>
    <row r="388" spans="1:1" x14ac:dyDescent="0.2">
      <c r="A388" s="261"/>
    </row>
    <row r="389" spans="1:1" x14ac:dyDescent="0.2">
      <c r="A389" s="260"/>
    </row>
    <row r="390" spans="1:1" x14ac:dyDescent="0.2">
      <c r="A390" s="263"/>
    </row>
    <row r="391" spans="1:1" x14ac:dyDescent="0.2">
      <c r="A391" s="264"/>
    </row>
    <row r="393" spans="1:1" x14ac:dyDescent="0.2">
      <c r="A393" s="259"/>
    </row>
    <row r="394" spans="1:1" x14ac:dyDescent="0.2">
      <c r="A394" s="258"/>
    </row>
    <row r="395" spans="1:1" x14ac:dyDescent="0.2">
      <c r="A395" s="257"/>
    </row>
    <row r="396" spans="1:1" x14ac:dyDescent="0.2">
      <c r="A396" s="262"/>
    </row>
    <row r="397" spans="1:1" x14ac:dyDescent="0.2">
      <c r="A397" s="261"/>
    </row>
    <row r="398" spans="1:1" x14ac:dyDescent="0.2">
      <c r="A398" s="260"/>
    </row>
    <row r="399" spans="1:1" x14ac:dyDescent="0.2">
      <c r="A399" s="263"/>
    </row>
    <row r="400" spans="1:1" x14ac:dyDescent="0.2">
      <c r="A400" s="264"/>
    </row>
    <row r="401" spans="1:1" x14ac:dyDescent="0.2">
      <c r="A401" s="259"/>
    </row>
    <row r="402" spans="1:1" x14ac:dyDescent="0.2">
      <c r="A402" s="258"/>
    </row>
    <row r="403" spans="1:1" x14ac:dyDescent="0.2">
      <c r="A403" s="257"/>
    </row>
    <row r="404" spans="1:1" x14ac:dyDescent="0.2">
      <c r="A404" s="262"/>
    </row>
    <row r="405" spans="1:1" x14ac:dyDescent="0.2">
      <c r="A405" s="261"/>
    </row>
    <row r="406" spans="1:1" x14ac:dyDescent="0.2">
      <c r="A406" s="260"/>
    </row>
    <row r="407" spans="1:1" x14ac:dyDescent="0.2">
      <c r="A407" s="263"/>
    </row>
    <row r="408" spans="1:1" x14ac:dyDescent="0.2">
      <c r="A408" s="264"/>
    </row>
    <row r="409" spans="1:1" x14ac:dyDescent="0.2">
      <c r="A409" s="259"/>
    </row>
    <row r="410" spans="1:1" x14ac:dyDescent="0.2">
      <c r="A410" s="258"/>
    </row>
    <row r="411" spans="1:1" x14ac:dyDescent="0.2">
      <c r="A411" s="257"/>
    </row>
    <row r="412" spans="1:1" x14ac:dyDescent="0.2">
      <c r="A412" s="262"/>
    </row>
    <row r="413" spans="1:1" x14ac:dyDescent="0.2">
      <c r="A413" s="261"/>
    </row>
    <row r="414" spans="1:1" x14ac:dyDescent="0.2">
      <c r="A414" s="260"/>
    </row>
    <row r="415" spans="1:1" x14ac:dyDescent="0.2">
      <c r="A415" s="263"/>
    </row>
    <row r="416" spans="1:1" x14ac:dyDescent="0.2">
      <c r="A416" s="264"/>
    </row>
    <row r="417" spans="1:1" x14ac:dyDescent="0.2">
      <c r="A417" s="259"/>
    </row>
    <row r="418" spans="1:1" x14ac:dyDescent="0.2">
      <c r="A418" s="258"/>
    </row>
    <row r="419" spans="1:1" x14ac:dyDescent="0.2">
      <c r="A419" s="257"/>
    </row>
    <row r="420" spans="1:1" x14ac:dyDescent="0.2">
      <c r="A420" s="262"/>
    </row>
    <row r="421" spans="1:1" x14ac:dyDescent="0.2">
      <c r="A421" s="261"/>
    </row>
    <row r="422" spans="1:1" x14ac:dyDescent="0.2">
      <c r="A422" s="260"/>
    </row>
    <row r="423" spans="1:1" x14ac:dyDescent="0.2">
      <c r="A423" s="263"/>
    </row>
    <row r="424" spans="1:1" x14ac:dyDescent="0.2">
      <c r="A424" s="264"/>
    </row>
    <row r="426" spans="1:1" x14ac:dyDescent="0.2">
      <c r="A426" s="259"/>
    </row>
    <row r="427" spans="1:1" x14ac:dyDescent="0.2">
      <c r="A427" s="258"/>
    </row>
    <row r="428" spans="1:1" x14ac:dyDescent="0.2">
      <c r="A428" s="257"/>
    </row>
    <row r="429" spans="1:1" x14ac:dyDescent="0.2">
      <c r="A429" s="262"/>
    </row>
    <row r="430" spans="1:1" x14ac:dyDescent="0.2">
      <c r="A430" s="261"/>
    </row>
    <row r="431" spans="1:1" x14ac:dyDescent="0.2">
      <c r="A431" s="260"/>
    </row>
    <row r="432" spans="1:1" x14ac:dyDescent="0.2">
      <c r="A432" s="263"/>
    </row>
    <row r="433" spans="1:1" x14ac:dyDescent="0.2">
      <c r="A433" s="264"/>
    </row>
    <row r="434" spans="1:1" x14ac:dyDescent="0.2">
      <c r="A434" s="259"/>
    </row>
    <row r="435" spans="1:1" x14ac:dyDescent="0.2">
      <c r="A435" s="258"/>
    </row>
    <row r="436" spans="1:1" x14ac:dyDescent="0.2">
      <c r="A436" s="257"/>
    </row>
    <row r="437" spans="1:1" x14ac:dyDescent="0.2">
      <c r="A437" s="262"/>
    </row>
    <row r="438" spans="1:1" x14ac:dyDescent="0.2">
      <c r="A438" s="261"/>
    </row>
    <row r="439" spans="1:1" x14ac:dyDescent="0.2">
      <c r="A439" s="260"/>
    </row>
    <row r="440" spans="1:1" x14ac:dyDescent="0.2">
      <c r="A440" s="263"/>
    </row>
    <row r="441" spans="1:1" x14ac:dyDescent="0.2">
      <c r="A441" s="264"/>
    </row>
    <row r="442" spans="1:1" x14ac:dyDescent="0.2">
      <c r="A442" s="259"/>
    </row>
    <row r="443" spans="1:1" x14ac:dyDescent="0.2">
      <c r="A443" s="258"/>
    </row>
    <row r="444" spans="1:1" x14ac:dyDescent="0.2">
      <c r="A444" s="257"/>
    </row>
    <row r="445" spans="1:1" x14ac:dyDescent="0.2">
      <c r="A445" s="262"/>
    </row>
    <row r="446" spans="1:1" x14ac:dyDescent="0.2">
      <c r="A446" s="261"/>
    </row>
    <row r="447" spans="1:1" x14ac:dyDescent="0.2">
      <c r="A447" s="260"/>
    </row>
    <row r="448" spans="1:1" x14ac:dyDescent="0.2">
      <c r="A448" s="263"/>
    </row>
    <row r="449" spans="1:1" x14ac:dyDescent="0.2">
      <c r="A449" s="264"/>
    </row>
    <row r="450" spans="1:1" x14ac:dyDescent="0.2">
      <c r="A450" s="259"/>
    </row>
    <row r="451" spans="1:1" x14ac:dyDescent="0.2">
      <c r="A451" s="258"/>
    </row>
    <row r="452" spans="1:1" x14ac:dyDescent="0.2">
      <c r="A452" s="257"/>
    </row>
    <row r="453" spans="1:1" x14ac:dyDescent="0.2">
      <c r="A453" s="262"/>
    </row>
    <row r="454" spans="1:1" x14ac:dyDescent="0.2">
      <c r="A454" s="261"/>
    </row>
    <row r="455" spans="1:1" x14ac:dyDescent="0.2">
      <c r="A455" s="260"/>
    </row>
    <row r="456" spans="1:1" x14ac:dyDescent="0.2">
      <c r="A456" s="263"/>
    </row>
    <row r="457" spans="1:1" x14ac:dyDescent="0.2">
      <c r="A457" s="264"/>
    </row>
    <row r="459" spans="1:1" x14ac:dyDescent="0.2">
      <c r="A459" s="259"/>
    </row>
    <row r="460" spans="1:1" x14ac:dyDescent="0.2">
      <c r="A460" s="258"/>
    </row>
    <row r="461" spans="1:1" x14ac:dyDescent="0.2">
      <c r="A461" s="257"/>
    </row>
    <row r="462" spans="1:1" x14ac:dyDescent="0.2">
      <c r="A462" s="262"/>
    </row>
    <row r="463" spans="1:1" x14ac:dyDescent="0.2">
      <c r="A463" s="261"/>
    </row>
    <row r="464" spans="1:1" x14ac:dyDescent="0.2">
      <c r="A464" s="260"/>
    </row>
    <row r="465" spans="1:1" x14ac:dyDescent="0.2">
      <c r="A465" s="263"/>
    </row>
    <row r="466" spans="1:1" x14ac:dyDescent="0.2">
      <c r="A466" s="264"/>
    </row>
    <row r="467" spans="1:1" x14ac:dyDescent="0.2">
      <c r="A467" s="259"/>
    </row>
    <row r="468" spans="1:1" x14ac:dyDescent="0.2">
      <c r="A468" s="258"/>
    </row>
    <row r="469" spans="1:1" x14ac:dyDescent="0.2">
      <c r="A469" s="257"/>
    </row>
    <row r="470" spans="1:1" x14ac:dyDescent="0.2">
      <c r="A470" s="262"/>
    </row>
    <row r="471" spans="1:1" x14ac:dyDescent="0.2">
      <c r="A471" s="261"/>
    </row>
    <row r="472" spans="1:1" x14ac:dyDescent="0.2">
      <c r="A472" s="260"/>
    </row>
    <row r="473" spans="1:1" x14ac:dyDescent="0.2">
      <c r="A473" s="263"/>
    </row>
    <row r="474" spans="1:1" x14ac:dyDescent="0.2">
      <c r="A474" s="264"/>
    </row>
    <row r="475" spans="1:1" x14ac:dyDescent="0.2">
      <c r="A475" s="259"/>
    </row>
    <row r="476" spans="1:1" x14ac:dyDescent="0.2">
      <c r="A476" s="258"/>
    </row>
    <row r="477" spans="1:1" x14ac:dyDescent="0.2">
      <c r="A477" s="257"/>
    </row>
    <row r="478" spans="1:1" x14ac:dyDescent="0.2">
      <c r="A478" s="262"/>
    </row>
    <row r="479" spans="1:1" x14ac:dyDescent="0.2">
      <c r="A479" s="261"/>
    </row>
    <row r="480" spans="1:1" x14ac:dyDescent="0.2">
      <c r="A480" s="260"/>
    </row>
    <row r="481" spans="1:1" x14ac:dyDescent="0.2">
      <c r="A481" s="263"/>
    </row>
    <row r="482" spans="1:1" x14ac:dyDescent="0.2">
      <c r="A482" s="264"/>
    </row>
    <row r="483" spans="1:1" x14ac:dyDescent="0.2">
      <c r="A483" s="259"/>
    </row>
    <row r="484" spans="1:1" x14ac:dyDescent="0.2">
      <c r="A484" s="258"/>
    </row>
    <row r="485" spans="1:1" x14ac:dyDescent="0.2">
      <c r="A485" s="257"/>
    </row>
    <row r="486" spans="1:1" x14ac:dyDescent="0.2">
      <c r="A486" s="262"/>
    </row>
    <row r="487" spans="1:1" x14ac:dyDescent="0.2">
      <c r="A487" s="261"/>
    </row>
    <row r="488" spans="1:1" x14ac:dyDescent="0.2">
      <c r="A488" s="260"/>
    </row>
    <row r="489" spans="1:1" x14ac:dyDescent="0.2">
      <c r="A489" s="263"/>
    </row>
    <row r="490" spans="1:1" x14ac:dyDescent="0.2">
      <c r="A490" s="264"/>
    </row>
    <row r="492" spans="1:1" x14ac:dyDescent="0.2">
      <c r="A492" s="259"/>
    </row>
    <row r="493" spans="1:1" x14ac:dyDescent="0.2">
      <c r="A493" s="258"/>
    </row>
    <row r="494" spans="1:1" x14ac:dyDescent="0.2">
      <c r="A494" s="257"/>
    </row>
    <row r="495" spans="1:1" x14ac:dyDescent="0.2">
      <c r="A495" s="262"/>
    </row>
    <row r="496" spans="1:1" x14ac:dyDescent="0.2">
      <c r="A496" s="261"/>
    </row>
    <row r="497" spans="1:1" x14ac:dyDescent="0.2">
      <c r="A497" s="260"/>
    </row>
    <row r="498" spans="1:1" x14ac:dyDescent="0.2">
      <c r="A498" s="263"/>
    </row>
    <row r="499" spans="1:1" x14ac:dyDescent="0.2">
      <c r="A499" s="264"/>
    </row>
    <row r="500" spans="1:1" x14ac:dyDescent="0.2">
      <c r="A500" s="259"/>
    </row>
    <row r="501" spans="1:1" x14ac:dyDescent="0.2">
      <c r="A501" s="258"/>
    </row>
    <row r="502" spans="1:1" x14ac:dyDescent="0.2">
      <c r="A502" s="257"/>
    </row>
    <row r="503" spans="1:1" x14ac:dyDescent="0.2">
      <c r="A503" s="262"/>
    </row>
    <row r="504" spans="1:1" x14ac:dyDescent="0.2">
      <c r="A504" s="261"/>
    </row>
    <row r="505" spans="1:1" x14ac:dyDescent="0.2">
      <c r="A505" s="260"/>
    </row>
    <row r="506" spans="1:1" x14ac:dyDescent="0.2">
      <c r="A506" s="263"/>
    </row>
    <row r="507" spans="1:1" x14ac:dyDescent="0.2">
      <c r="A507" s="264"/>
    </row>
    <row r="508" spans="1:1" x14ac:dyDescent="0.2">
      <c r="A508" s="259"/>
    </row>
    <row r="509" spans="1:1" x14ac:dyDescent="0.2">
      <c r="A509" s="258"/>
    </row>
    <row r="510" spans="1:1" x14ac:dyDescent="0.2">
      <c r="A510" s="257"/>
    </row>
    <row r="511" spans="1:1" x14ac:dyDescent="0.2">
      <c r="A511" s="262"/>
    </row>
    <row r="512" spans="1:1" x14ac:dyDescent="0.2">
      <c r="A512" s="261"/>
    </row>
    <row r="513" spans="1:1" x14ac:dyDescent="0.2">
      <c r="A513" s="260"/>
    </row>
    <row r="514" spans="1:1" x14ac:dyDescent="0.2">
      <c r="A514" s="263"/>
    </row>
    <row r="515" spans="1:1" x14ac:dyDescent="0.2">
      <c r="A515" s="264"/>
    </row>
    <row r="516" spans="1:1" x14ac:dyDescent="0.2">
      <c r="A516" s="259"/>
    </row>
    <row r="517" spans="1:1" x14ac:dyDescent="0.2">
      <c r="A517" s="258"/>
    </row>
    <row r="518" spans="1:1" x14ac:dyDescent="0.2">
      <c r="A518" s="257"/>
    </row>
    <row r="519" spans="1:1" x14ac:dyDescent="0.2">
      <c r="A519" s="262"/>
    </row>
    <row r="520" spans="1:1" x14ac:dyDescent="0.2">
      <c r="A520" s="261"/>
    </row>
    <row r="521" spans="1:1" x14ac:dyDescent="0.2">
      <c r="A521" s="260"/>
    </row>
    <row r="522" spans="1:1" x14ac:dyDescent="0.2">
      <c r="A522" s="263"/>
    </row>
    <row r="523" spans="1:1" x14ac:dyDescent="0.2">
      <c r="A523" s="264"/>
    </row>
    <row r="525" spans="1:1" x14ac:dyDescent="0.2">
      <c r="A525" s="259"/>
    </row>
    <row r="526" spans="1:1" x14ac:dyDescent="0.2">
      <c r="A526" s="258"/>
    </row>
    <row r="527" spans="1:1" x14ac:dyDescent="0.2">
      <c r="A527" s="257"/>
    </row>
    <row r="528" spans="1:1" x14ac:dyDescent="0.2">
      <c r="A528" s="262"/>
    </row>
    <row r="529" spans="1:1" x14ac:dyDescent="0.2">
      <c r="A529" s="261"/>
    </row>
    <row r="530" spans="1:1" x14ac:dyDescent="0.2">
      <c r="A530" s="260"/>
    </row>
    <row r="531" spans="1:1" x14ac:dyDescent="0.2">
      <c r="A531" s="263"/>
    </row>
    <row r="532" spans="1:1" x14ac:dyDescent="0.2">
      <c r="A532" s="264"/>
    </row>
    <row r="533" spans="1:1" x14ac:dyDescent="0.2">
      <c r="A533" s="259"/>
    </row>
    <row r="534" spans="1:1" x14ac:dyDescent="0.2">
      <c r="A534" s="258"/>
    </row>
    <row r="535" spans="1:1" x14ac:dyDescent="0.2">
      <c r="A535" s="257"/>
    </row>
    <row r="536" spans="1:1" x14ac:dyDescent="0.2">
      <c r="A536" s="262"/>
    </row>
    <row r="537" spans="1:1" x14ac:dyDescent="0.2">
      <c r="A537" s="261"/>
    </row>
    <row r="538" spans="1:1" x14ac:dyDescent="0.2">
      <c r="A538" s="260"/>
    </row>
    <row r="539" spans="1:1" x14ac:dyDescent="0.2">
      <c r="A539" s="263"/>
    </row>
    <row r="540" spans="1:1" x14ac:dyDescent="0.2">
      <c r="A540" s="264"/>
    </row>
    <row r="541" spans="1:1" x14ac:dyDescent="0.2">
      <c r="A541" s="259"/>
    </row>
    <row r="542" spans="1:1" x14ac:dyDescent="0.2">
      <c r="A542" s="258"/>
    </row>
    <row r="543" spans="1:1" x14ac:dyDescent="0.2">
      <c r="A543" s="257"/>
    </row>
    <row r="544" spans="1:1" x14ac:dyDescent="0.2">
      <c r="A544" s="262"/>
    </row>
    <row r="545" spans="1:1" x14ac:dyDescent="0.2">
      <c r="A545" s="261"/>
    </row>
    <row r="546" spans="1:1" x14ac:dyDescent="0.2">
      <c r="A546" s="260"/>
    </row>
    <row r="547" spans="1:1" x14ac:dyDescent="0.2">
      <c r="A547" s="263"/>
    </row>
    <row r="548" spans="1:1" x14ac:dyDescent="0.2">
      <c r="A548" s="264"/>
    </row>
    <row r="549" spans="1:1" x14ac:dyDescent="0.2">
      <c r="A549" s="259"/>
    </row>
    <row r="550" spans="1:1" x14ac:dyDescent="0.2">
      <c r="A550" s="258"/>
    </row>
    <row r="551" spans="1:1" x14ac:dyDescent="0.2">
      <c r="A551" s="257"/>
    </row>
    <row r="552" spans="1:1" x14ac:dyDescent="0.2">
      <c r="A552" s="262"/>
    </row>
    <row r="553" spans="1:1" x14ac:dyDescent="0.2">
      <c r="A553" s="261"/>
    </row>
    <row r="554" spans="1:1" x14ac:dyDescent="0.2">
      <c r="A554" s="260"/>
    </row>
    <row r="555" spans="1:1" x14ac:dyDescent="0.2">
      <c r="A555" s="263"/>
    </row>
    <row r="556" spans="1:1" x14ac:dyDescent="0.2">
      <c r="A556" s="264"/>
    </row>
    <row r="558" spans="1:1" x14ac:dyDescent="0.2">
      <c r="A558" s="259"/>
    </row>
    <row r="559" spans="1:1" x14ac:dyDescent="0.2">
      <c r="A559" s="258"/>
    </row>
    <row r="560" spans="1:1" x14ac:dyDescent="0.2">
      <c r="A560" s="257"/>
    </row>
    <row r="561" spans="1:1" x14ac:dyDescent="0.2">
      <c r="A561" s="262"/>
    </row>
    <row r="562" spans="1:1" x14ac:dyDescent="0.2">
      <c r="A562" s="261"/>
    </row>
    <row r="563" spans="1:1" x14ac:dyDescent="0.2">
      <c r="A563" s="260"/>
    </row>
    <row r="564" spans="1:1" x14ac:dyDescent="0.2">
      <c r="A564" s="263"/>
    </row>
    <row r="565" spans="1:1" x14ac:dyDescent="0.2">
      <c r="A565" s="264"/>
    </row>
    <row r="566" spans="1:1" x14ac:dyDescent="0.2">
      <c r="A566" s="259"/>
    </row>
    <row r="567" spans="1:1" x14ac:dyDescent="0.2">
      <c r="A567" s="258"/>
    </row>
    <row r="568" spans="1:1" x14ac:dyDescent="0.2">
      <c r="A568" s="257"/>
    </row>
    <row r="569" spans="1:1" x14ac:dyDescent="0.2">
      <c r="A569" s="262"/>
    </row>
    <row r="570" spans="1:1" x14ac:dyDescent="0.2">
      <c r="A570" s="261"/>
    </row>
    <row r="571" spans="1:1" x14ac:dyDescent="0.2">
      <c r="A571" s="260"/>
    </row>
    <row r="572" spans="1:1" x14ac:dyDescent="0.2">
      <c r="A572" s="263"/>
    </row>
    <row r="573" spans="1:1" x14ac:dyDescent="0.2">
      <c r="A573" s="264"/>
    </row>
    <row r="574" spans="1:1" x14ac:dyDescent="0.2">
      <c r="A574" s="259"/>
    </row>
    <row r="575" spans="1:1" x14ac:dyDescent="0.2">
      <c r="A575" s="258"/>
    </row>
    <row r="576" spans="1:1" x14ac:dyDescent="0.2">
      <c r="A576" s="257"/>
    </row>
    <row r="577" spans="1:1" x14ac:dyDescent="0.2">
      <c r="A577" s="262"/>
    </row>
    <row r="578" spans="1:1" x14ac:dyDescent="0.2">
      <c r="A578" s="261"/>
    </row>
    <row r="579" spans="1:1" x14ac:dyDescent="0.2">
      <c r="A579" s="260"/>
    </row>
    <row r="580" spans="1:1" x14ac:dyDescent="0.2">
      <c r="A580" s="263"/>
    </row>
    <row r="581" spans="1:1" x14ac:dyDescent="0.2">
      <c r="A581" s="264"/>
    </row>
    <row r="582" spans="1:1" x14ac:dyDescent="0.2">
      <c r="A582" s="259"/>
    </row>
    <row r="583" spans="1:1" x14ac:dyDescent="0.2">
      <c r="A583" s="258"/>
    </row>
    <row r="584" spans="1:1" x14ac:dyDescent="0.2">
      <c r="A584" s="257"/>
    </row>
    <row r="585" spans="1:1" x14ac:dyDescent="0.2">
      <c r="A585" s="262"/>
    </row>
    <row r="586" spans="1:1" x14ac:dyDescent="0.2">
      <c r="A586" s="261"/>
    </row>
    <row r="587" spans="1:1" x14ac:dyDescent="0.2">
      <c r="A587" s="260"/>
    </row>
    <row r="588" spans="1:1" x14ac:dyDescent="0.2">
      <c r="A588" s="263"/>
    </row>
    <row r="589" spans="1:1" x14ac:dyDescent="0.2">
      <c r="A589" s="264"/>
    </row>
    <row r="591" spans="1:1" x14ac:dyDescent="0.2">
      <c r="A591" s="259"/>
    </row>
    <row r="592" spans="1:1" x14ac:dyDescent="0.2">
      <c r="A592" s="258"/>
    </row>
    <row r="593" spans="1:1" x14ac:dyDescent="0.2">
      <c r="A593" s="257"/>
    </row>
    <row r="594" spans="1:1" x14ac:dyDescent="0.2">
      <c r="A594" s="262"/>
    </row>
    <row r="595" spans="1:1" x14ac:dyDescent="0.2">
      <c r="A595" s="261"/>
    </row>
    <row r="596" spans="1:1" x14ac:dyDescent="0.2">
      <c r="A596" s="260"/>
    </row>
    <row r="597" spans="1:1" x14ac:dyDescent="0.2">
      <c r="A597" s="263"/>
    </row>
    <row r="598" spans="1:1" x14ac:dyDescent="0.2">
      <c r="A598" s="264"/>
    </row>
    <row r="599" spans="1:1" x14ac:dyDescent="0.2">
      <c r="A599" s="259"/>
    </row>
    <row r="600" spans="1:1" x14ac:dyDescent="0.2">
      <c r="A600" s="258"/>
    </row>
    <row r="601" spans="1:1" x14ac:dyDescent="0.2">
      <c r="A601" s="257"/>
    </row>
    <row r="602" spans="1:1" x14ac:dyDescent="0.2">
      <c r="A602" s="262"/>
    </row>
    <row r="603" spans="1:1" x14ac:dyDescent="0.2">
      <c r="A603" s="261"/>
    </row>
    <row r="604" spans="1:1" x14ac:dyDescent="0.2">
      <c r="A604" s="260"/>
    </row>
    <row r="605" spans="1:1" x14ac:dyDescent="0.2">
      <c r="A605" s="263"/>
    </row>
    <row r="606" spans="1:1" x14ac:dyDescent="0.2">
      <c r="A606" s="264"/>
    </row>
    <row r="607" spans="1:1" x14ac:dyDescent="0.2">
      <c r="A607" s="259"/>
    </row>
    <row r="608" spans="1:1" x14ac:dyDescent="0.2">
      <c r="A608" s="258"/>
    </row>
    <row r="609" spans="1:1" x14ac:dyDescent="0.2">
      <c r="A609" s="257"/>
    </row>
    <row r="610" spans="1:1" x14ac:dyDescent="0.2">
      <c r="A610" s="262"/>
    </row>
    <row r="611" spans="1:1" x14ac:dyDescent="0.2">
      <c r="A611" s="261"/>
    </row>
    <row r="612" spans="1:1" x14ac:dyDescent="0.2">
      <c r="A612" s="260"/>
    </row>
    <row r="613" spans="1:1" x14ac:dyDescent="0.2">
      <c r="A613" s="263"/>
    </row>
    <row r="614" spans="1:1" x14ac:dyDescent="0.2">
      <c r="A614" s="264"/>
    </row>
    <row r="615" spans="1:1" x14ac:dyDescent="0.2">
      <c r="A615" s="259"/>
    </row>
    <row r="616" spans="1:1" x14ac:dyDescent="0.2">
      <c r="A616" s="258"/>
    </row>
    <row r="617" spans="1:1" x14ac:dyDescent="0.2">
      <c r="A617" s="257"/>
    </row>
    <row r="618" spans="1:1" x14ac:dyDescent="0.2">
      <c r="A618" s="262"/>
    </row>
    <row r="619" spans="1:1" x14ac:dyDescent="0.2">
      <c r="A619" s="261"/>
    </row>
    <row r="620" spans="1:1" x14ac:dyDescent="0.2">
      <c r="A620" s="260"/>
    </row>
    <row r="621" spans="1:1" x14ac:dyDescent="0.2">
      <c r="A621" s="263"/>
    </row>
    <row r="622" spans="1:1" x14ac:dyDescent="0.2">
      <c r="A622" s="264"/>
    </row>
    <row r="624" spans="1:1" x14ac:dyDescent="0.2">
      <c r="A624" s="259"/>
    </row>
    <row r="625" spans="1:1" x14ac:dyDescent="0.2">
      <c r="A625" s="258"/>
    </row>
    <row r="626" spans="1:1" x14ac:dyDescent="0.2">
      <c r="A626" s="257"/>
    </row>
    <row r="627" spans="1:1" x14ac:dyDescent="0.2">
      <c r="A627" s="262"/>
    </row>
    <row r="628" spans="1:1" x14ac:dyDescent="0.2">
      <c r="A628" s="261"/>
    </row>
    <row r="629" spans="1:1" x14ac:dyDescent="0.2">
      <c r="A629" s="260"/>
    </row>
    <row r="630" spans="1:1" x14ac:dyDescent="0.2">
      <c r="A630" s="263"/>
    </row>
    <row r="631" spans="1:1" x14ac:dyDescent="0.2">
      <c r="A631" s="264"/>
    </row>
    <row r="632" spans="1:1" x14ac:dyDescent="0.2">
      <c r="A632" s="259"/>
    </row>
    <row r="633" spans="1:1" x14ac:dyDescent="0.2">
      <c r="A633" s="258"/>
    </row>
    <row r="634" spans="1:1" x14ac:dyDescent="0.2">
      <c r="A634" s="257"/>
    </row>
    <row r="635" spans="1:1" x14ac:dyDescent="0.2">
      <c r="A635" s="262"/>
    </row>
    <row r="636" spans="1:1" x14ac:dyDescent="0.2">
      <c r="A636" s="261"/>
    </row>
    <row r="637" spans="1:1" x14ac:dyDescent="0.2">
      <c r="A637" s="260"/>
    </row>
    <row r="638" spans="1:1" x14ac:dyDescent="0.2">
      <c r="A638" s="263"/>
    </row>
    <row r="639" spans="1:1" x14ac:dyDescent="0.2">
      <c r="A639" s="264"/>
    </row>
    <row r="640" spans="1:1" x14ac:dyDescent="0.2">
      <c r="A640" s="259"/>
    </row>
    <row r="641" spans="1:1" x14ac:dyDescent="0.2">
      <c r="A641" s="258"/>
    </row>
    <row r="642" spans="1:1" x14ac:dyDescent="0.2">
      <c r="A642" s="257"/>
    </row>
    <row r="643" spans="1:1" x14ac:dyDescent="0.2">
      <c r="A643" s="262"/>
    </row>
    <row r="644" spans="1:1" x14ac:dyDescent="0.2">
      <c r="A644" s="261"/>
    </row>
    <row r="645" spans="1:1" x14ac:dyDescent="0.2">
      <c r="A645" s="260"/>
    </row>
    <row r="646" spans="1:1" x14ac:dyDescent="0.2">
      <c r="A646" s="263"/>
    </row>
    <row r="647" spans="1:1" x14ac:dyDescent="0.2">
      <c r="A647" s="264"/>
    </row>
    <row r="648" spans="1:1" x14ac:dyDescent="0.2">
      <c r="A648" s="259"/>
    </row>
    <row r="649" spans="1:1" x14ac:dyDescent="0.2">
      <c r="A649" s="258"/>
    </row>
    <row r="650" spans="1:1" x14ac:dyDescent="0.2">
      <c r="A650" s="257"/>
    </row>
    <row r="651" spans="1:1" x14ac:dyDescent="0.2">
      <c r="A651" s="262"/>
    </row>
    <row r="652" spans="1:1" x14ac:dyDescent="0.2">
      <c r="A652" s="261"/>
    </row>
    <row r="653" spans="1:1" x14ac:dyDescent="0.2">
      <c r="A653" s="260"/>
    </row>
    <row r="654" spans="1:1" x14ac:dyDescent="0.2">
      <c r="A654" s="263"/>
    </row>
    <row r="655" spans="1:1" x14ac:dyDescent="0.2">
      <c r="A655" s="264"/>
    </row>
    <row r="657" spans="1:1" x14ac:dyDescent="0.2">
      <c r="A657" s="259"/>
    </row>
    <row r="658" spans="1:1" x14ac:dyDescent="0.2">
      <c r="A658" s="258"/>
    </row>
    <row r="659" spans="1:1" x14ac:dyDescent="0.2">
      <c r="A659" s="257"/>
    </row>
    <row r="660" spans="1:1" x14ac:dyDescent="0.2">
      <c r="A660" s="262"/>
    </row>
    <row r="661" spans="1:1" x14ac:dyDescent="0.2">
      <c r="A661" s="261"/>
    </row>
    <row r="662" spans="1:1" x14ac:dyDescent="0.2">
      <c r="A662" s="260"/>
    </row>
    <row r="663" spans="1:1" x14ac:dyDescent="0.2">
      <c r="A663" s="263"/>
    </row>
    <row r="664" spans="1:1" x14ac:dyDescent="0.2">
      <c r="A664" s="264"/>
    </row>
    <row r="665" spans="1:1" x14ac:dyDescent="0.2">
      <c r="A665" s="259"/>
    </row>
    <row r="666" spans="1:1" x14ac:dyDescent="0.2">
      <c r="A666" s="258"/>
    </row>
    <row r="667" spans="1:1" x14ac:dyDescent="0.2">
      <c r="A667" s="257"/>
    </row>
    <row r="668" spans="1:1" x14ac:dyDescent="0.2">
      <c r="A668" s="262"/>
    </row>
    <row r="669" spans="1:1" x14ac:dyDescent="0.2">
      <c r="A669" s="261"/>
    </row>
    <row r="670" spans="1:1" x14ac:dyDescent="0.2">
      <c r="A670" s="260"/>
    </row>
    <row r="671" spans="1:1" x14ac:dyDescent="0.2">
      <c r="A671" s="263"/>
    </row>
    <row r="672" spans="1:1" x14ac:dyDescent="0.2">
      <c r="A672" s="264"/>
    </row>
    <row r="673" spans="1:1" x14ac:dyDescent="0.2">
      <c r="A673" s="259"/>
    </row>
    <row r="674" spans="1:1" x14ac:dyDescent="0.2">
      <c r="A674" s="258"/>
    </row>
    <row r="675" spans="1:1" x14ac:dyDescent="0.2">
      <c r="A675" s="257"/>
    </row>
    <row r="676" spans="1:1" x14ac:dyDescent="0.2">
      <c r="A676" s="262"/>
    </row>
    <row r="677" spans="1:1" x14ac:dyDescent="0.2">
      <c r="A677" s="261"/>
    </row>
    <row r="678" spans="1:1" x14ac:dyDescent="0.2">
      <c r="A678" s="260"/>
    </row>
    <row r="679" spans="1:1" x14ac:dyDescent="0.2">
      <c r="A679" s="263"/>
    </row>
    <row r="680" spans="1:1" x14ac:dyDescent="0.2">
      <c r="A680" s="264"/>
    </row>
    <row r="681" spans="1:1" x14ac:dyDescent="0.2">
      <c r="A681" s="259"/>
    </row>
    <row r="682" spans="1:1" x14ac:dyDescent="0.2">
      <c r="A682" s="258"/>
    </row>
    <row r="683" spans="1:1" x14ac:dyDescent="0.2">
      <c r="A683" s="257"/>
    </row>
    <row r="684" spans="1:1" x14ac:dyDescent="0.2">
      <c r="A684" s="262"/>
    </row>
    <row r="685" spans="1:1" x14ac:dyDescent="0.2">
      <c r="A685" s="261"/>
    </row>
    <row r="686" spans="1:1" x14ac:dyDescent="0.2">
      <c r="A686" s="260"/>
    </row>
    <row r="687" spans="1:1" x14ac:dyDescent="0.2">
      <c r="A687" s="263"/>
    </row>
    <row r="688" spans="1:1" x14ac:dyDescent="0.2">
      <c r="A688" s="264"/>
    </row>
    <row r="690" spans="1:1" x14ac:dyDescent="0.2">
      <c r="A690" s="259"/>
    </row>
    <row r="691" spans="1:1" x14ac:dyDescent="0.2">
      <c r="A691" s="258"/>
    </row>
    <row r="692" spans="1:1" x14ac:dyDescent="0.2">
      <c r="A692" s="257"/>
    </row>
    <row r="693" spans="1:1" x14ac:dyDescent="0.2">
      <c r="A693" s="262"/>
    </row>
    <row r="694" spans="1:1" x14ac:dyDescent="0.2">
      <c r="A694" s="261"/>
    </row>
    <row r="695" spans="1:1" x14ac:dyDescent="0.2">
      <c r="A695" s="260"/>
    </row>
    <row r="696" spans="1:1" x14ac:dyDescent="0.2">
      <c r="A696" s="263"/>
    </row>
    <row r="697" spans="1:1" x14ac:dyDescent="0.2">
      <c r="A697" s="264"/>
    </row>
    <row r="698" spans="1:1" x14ac:dyDescent="0.2">
      <c r="A698" s="259"/>
    </row>
    <row r="699" spans="1:1" x14ac:dyDescent="0.2">
      <c r="A699" s="258"/>
    </row>
    <row r="700" spans="1:1" x14ac:dyDescent="0.2">
      <c r="A700" s="257"/>
    </row>
    <row r="701" spans="1:1" x14ac:dyDescent="0.2">
      <c r="A701" s="262"/>
    </row>
    <row r="702" spans="1:1" x14ac:dyDescent="0.2">
      <c r="A702" s="261"/>
    </row>
    <row r="703" spans="1:1" x14ac:dyDescent="0.2">
      <c r="A703" s="260"/>
    </row>
    <row r="704" spans="1:1" x14ac:dyDescent="0.2">
      <c r="A704" s="263"/>
    </row>
    <row r="705" spans="1:1" x14ac:dyDescent="0.2">
      <c r="A705" s="264"/>
    </row>
    <row r="706" spans="1:1" x14ac:dyDescent="0.2">
      <c r="A706" s="259"/>
    </row>
    <row r="707" spans="1:1" x14ac:dyDescent="0.2">
      <c r="A707" s="258"/>
    </row>
    <row r="708" spans="1:1" x14ac:dyDescent="0.2">
      <c r="A708" s="257"/>
    </row>
    <row r="709" spans="1:1" x14ac:dyDescent="0.2">
      <c r="A709" s="262"/>
    </row>
    <row r="710" spans="1:1" x14ac:dyDescent="0.2">
      <c r="A710" s="261"/>
    </row>
    <row r="711" spans="1:1" x14ac:dyDescent="0.2">
      <c r="A711" s="260"/>
    </row>
    <row r="712" spans="1:1" x14ac:dyDescent="0.2">
      <c r="A712" s="263"/>
    </row>
    <row r="713" spans="1:1" x14ac:dyDescent="0.2">
      <c r="A713" s="264"/>
    </row>
    <row r="714" spans="1:1" x14ac:dyDescent="0.2">
      <c r="A714" s="259"/>
    </row>
    <row r="715" spans="1:1" x14ac:dyDescent="0.2">
      <c r="A715" s="258"/>
    </row>
    <row r="716" spans="1:1" x14ac:dyDescent="0.2">
      <c r="A716" s="257"/>
    </row>
    <row r="717" spans="1:1" x14ac:dyDescent="0.2">
      <c r="A717" s="262"/>
    </row>
    <row r="718" spans="1:1" x14ac:dyDescent="0.2">
      <c r="A718" s="261"/>
    </row>
    <row r="719" spans="1:1" x14ac:dyDescent="0.2">
      <c r="A719" s="260"/>
    </row>
    <row r="720" spans="1:1" x14ac:dyDescent="0.2">
      <c r="A720" s="263"/>
    </row>
    <row r="721" spans="1:1" x14ac:dyDescent="0.2">
      <c r="A721" s="264"/>
    </row>
    <row r="723" spans="1:1" x14ac:dyDescent="0.2">
      <c r="A723" s="259"/>
    </row>
    <row r="724" spans="1:1" x14ac:dyDescent="0.2">
      <c r="A724" s="258"/>
    </row>
    <row r="725" spans="1:1" x14ac:dyDescent="0.2">
      <c r="A725" s="257"/>
    </row>
    <row r="726" spans="1:1" x14ac:dyDescent="0.2">
      <c r="A726" s="262"/>
    </row>
    <row r="727" spans="1:1" x14ac:dyDescent="0.2">
      <c r="A727" s="261"/>
    </row>
    <row r="728" spans="1:1" x14ac:dyDescent="0.2">
      <c r="A728" s="260"/>
    </row>
    <row r="729" spans="1:1" x14ac:dyDescent="0.2">
      <c r="A729" s="263"/>
    </row>
    <row r="730" spans="1:1" x14ac:dyDescent="0.2">
      <c r="A730" s="264"/>
    </row>
    <row r="731" spans="1:1" x14ac:dyDescent="0.2">
      <c r="A731" s="259"/>
    </row>
    <row r="732" spans="1:1" x14ac:dyDescent="0.2">
      <c r="A732" s="258"/>
    </row>
    <row r="733" spans="1:1" x14ac:dyDescent="0.2">
      <c r="A733" s="257"/>
    </row>
    <row r="734" spans="1:1" x14ac:dyDescent="0.2">
      <c r="A734" s="262"/>
    </row>
    <row r="735" spans="1:1" x14ac:dyDescent="0.2">
      <c r="A735" s="261"/>
    </row>
    <row r="736" spans="1:1" x14ac:dyDescent="0.2">
      <c r="A736" s="260"/>
    </row>
    <row r="737" spans="1:1" x14ac:dyDescent="0.2">
      <c r="A737" s="263"/>
    </row>
    <row r="738" spans="1:1" x14ac:dyDescent="0.2">
      <c r="A738" s="264"/>
    </row>
    <row r="739" spans="1:1" x14ac:dyDescent="0.2">
      <c r="A739" s="259"/>
    </row>
    <row r="740" spans="1:1" x14ac:dyDescent="0.2">
      <c r="A740" s="258"/>
    </row>
    <row r="741" spans="1:1" x14ac:dyDescent="0.2">
      <c r="A741" s="257"/>
    </row>
    <row r="742" spans="1:1" x14ac:dyDescent="0.2">
      <c r="A742" s="262"/>
    </row>
    <row r="743" spans="1:1" x14ac:dyDescent="0.2">
      <c r="A743" s="261"/>
    </row>
    <row r="744" spans="1:1" x14ac:dyDescent="0.2">
      <c r="A744" s="260"/>
    </row>
    <row r="745" spans="1:1" x14ac:dyDescent="0.2">
      <c r="A745" s="263"/>
    </row>
    <row r="746" spans="1:1" x14ac:dyDescent="0.2">
      <c r="A746" s="264"/>
    </row>
    <row r="747" spans="1:1" x14ac:dyDescent="0.2">
      <c r="A747" s="259"/>
    </row>
    <row r="748" spans="1:1" x14ac:dyDescent="0.2">
      <c r="A748" s="258"/>
    </row>
    <row r="749" spans="1:1" x14ac:dyDescent="0.2">
      <c r="A749" s="257"/>
    </row>
    <row r="750" spans="1:1" x14ac:dyDescent="0.2">
      <c r="A750" s="262"/>
    </row>
    <row r="751" spans="1:1" x14ac:dyDescent="0.2">
      <c r="A751" s="261"/>
    </row>
    <row r="752" spans="1:1" x14ac:dyDescent="0.2">
      <c r="A752" s="260"/>
    </row>
    <row r="753" spans="1:1" x14ac:dyDescent="0.2">
      <c r="A753" s="263"/>
    </row>
    <row r="754" spans="1:1" x14ac:dyDescent="0.2">
      <c r="A754" s="264"/>
    </row>
    <row r="756" spans="1:1" x14ac:dyDescent="0.2">
      <c r="A756" s="259"/>
    </row>
    <row r="757" spans="1:1" x14ac:dyDescent="0.2">
      <c r="A757" s="258"/>
    </row>
    <row r="758" spans="1:1" x14ac:dyDescent="0.2">
      <c r="A758" s="257"/>
    </row>
    <row r="759" spans="1:1" x14ac:dyDescent="0.2">
      <c r="A759" s="262"/>
    </row>
    <row r="760" spans="1:1" x14ac:dyDescent="0.2">
      <c r="A760" s="261"/>
    </row>
    <row r="761" spans="1:1" x14ac:dyDescent="0.2">
      <c r="A761" s="260"/>
    </row>
    <row r="762" spans="1:1" x14ac:dyDescent="0.2">
      <c r="A762" s="263"/>
    </row>
    <row r="763" spans="1:1" x14ac:dyDescent="0.2">
      <c r="A763" s="264"/>
    </row>
    <row r="764" spans="1:1" x14ac:dyDescent="0.2">
      <c r="A764" s="259"/>
    </row>
    <row r="765" spans="1:1" x14ac:dyDescent="0.2">
      <c r="A765" s="258"/>
    </row>
    <row r="766" spans="1:1" x14ac:dyDescent="0.2">
      <c r="A766" s="257"/>
    </row>
    <row r="767" spans="1:1" x14ac:dyDescent="0.2">
      <c r="A767" s="262"/>
    </row>
    <row r="768" spans="1:1" x14ac:dyDescent="0.2">
      <c r="A768" s="261"/>
    </row>
    <row r="769" spans="1:1" x14ac:dyDescent="0.2">
      <c r="A769" s="260"/>
    </row>
    <row r="770" spans="1:1" x14ac:dyDescent="0.2">
      <c r="A770" s="263"/>
    </row>
    <row r="771" spans="1:1" x14ac:dyDescent="0.2">
      <c r="A771" s="264"/>
    </row>
    <row r="772" spans="1:1" x14ac:dyDescent="0.2">
      <c r="A772" s="259"/>
    </row>
    <row r="773" spans="1:1" x14ac:dyDescent="0.2">
      <c r="A773" s="258"/>
    </row>
    <row r="774" spans="1:1" x14ac:dyDescent="0.2">
      <c r="A774" s="257"/>
    </row>
    <row r="775" spans="1:1" x14ac:dyDescent="0.2">
      <c r="A775" s="262"/>
    </row>
    <row r="776" spans="1:1" x14ac:dyDescent="0.2">
      <c r="A776" s="261"/>
    </row>
    <row r="777" spans="1:1" x14ac:dyDescent="0.2">
      <c r="A777" s="260"/>
    </row>
    <row r="778" spans="1:1" x14ac:dyDescent="0.2">
      <c r="A778" s="263"/>
    </row>
    <row r="779" spans="1:1" x14ac:dyDescent="0.2">
      <c r="A779" s="264"/>
    </row>
    <row r="780" spans="1:1" x14ac:dyDescent="0.2">
      <c r="A780" s="259"/>
    </row>
    <row r="781" spans="1:1" x14ac:dyDescent="0.2">
      <c r="A781" s="258"/>
    </row>
    <row r="782" spans="1:1" x14ac:dyDescent="0.2">
      <c r="A782" s="257"/>
    </row>
    <row r="783" spans="1:1" x14ac:dyDescent="0.2">
      <c r="A783" s="262"/>
    </row>
    <row r="784" spans="1:1" x14ac:dyDescent="0.2">
      <c r="A784" s="261"/>
    </row>
    <row r="785" spans="1:1" x14ac:dyDescent="0.2">
      <c r="A785" s="260"/>
    </row>
    <row r="786" spans="1:1" x14ac:dyDescent="0.2">
      <c r="A786" s="263"/>
    </row>
    <row r="787" spans="1:1" x14ac:dyDescent="0.2">
      <c r="A787" s="264"/>
    </row>
    <row r="789" spans="1:1" x14ac:dyDescent="0.2">
      <c r="A789" s="259"/>
    </row>
    <row r="790" spans="1:1" x14ac:dyDescent="0.2">
      <c r="A790" s="258"/>
    </row>
    <row r="791" spans="1:1" x14ac:dyDescent="0.2">
      <c r="A791" s="257"/>
    </row>
    <row r="792" spans="1:1" x14ac:dyDescent="0.2">
      <c r="A792" s="262"/>
    </row>
    <row r="793" spans="1:1" x14ac:dyDescent="0.2">
      <c r="A793" s="261"/>
    </row>
    <row r="794" spans="1:1" x14ac:dyDescent="0.2">
      <c r="A794" s="260"/>
    </row>
    <row r="795" spans="1:1" x14ac:dyDescent="0.2">
      <c r="A795" s="263"/>
    </row>
    <row r="796" spans="1:1" x14ac:dyDescent="0.2">
      <c r="A796" s="264"/>
    </row>
    <row r="797" spans="1:1" x14ac:dyDescent="0.2">
      <c r="A797" s="259"/>
    </row>
    <row r="798" spans="1:1" x14ac:dyDescent="0.2">
      <c r="A798" s="258"/>
    </row>
    <row r="799" spans="1:1" x14ac:dyDescent="0.2">
      <c r="A799" s="257"/>
    </row>
    <row r="800" spans="1:1" x14ac:dyDescent="0.2">
      <c r="A800" s="262"/>
    </row>
    <row r="801" spans="1:1" x14ac:dyDescent="0.2">
      <c r="A801" s="261"/>
    </row>
    <row r="802" spans="1:1" x14ac:dyDescent="0.2">
      <c r="A802" s="260"/>
    </row>
    <row r="803" spans="1:1" x14ac:dyDescent="0.2">
      <c r="A803" s="263"/>
    </row>
    <row r="804" spans="1:1" x14ac:dyDescent="0.2">
      <c r="A804" s="264"/>
    </row>
    <row r="805" spans="1:1" x14ac:dyDescent="0.2">
      <c r="A805" s="259"/>
    </row>
    <row r="806" spans="1:1" x14ac:dyDescent="0.2">
      <c r="A806" s="258"/>
    </row>
    <row r="807" spans="1:1" x14ac:dyDescent="0.2">
      <c r="A807" s="257"/>
    </row>
    <row r="808" spans="1:1" x14ac:dyDescent="0.2">
      <c r="A808" s="262"/>
    </row>
    <row r="809" spans="1:1" x14ac:dyDescent="0.2">
      <c r="A809" s="261"/>
    </row>
    <row r="810" spans="1:1" x14ac:dyDescent="0.2">
      <c r="A810" s="260"/>
    </row>
    <row r="811" spans="1:1" x14ac:dyDescent="0.2">
      <c r="A811" s="263"/>
    </row>
    <row r="812" spans="1:1" x14ac:dyDescent="0.2">
      <c r="A812" s="264"/>
    </row>
    <row r="813" spans="1:1" x14ac:dyDescent="0.2">
      <c r="A813" s="259"/>
    </row>
    <row r="814" spans="1:1" x14ac:dyDescent="0.2">
      <c r="A814" s="258"/>
    </row>
    <row r="815" spans="1:1" x14ac:dyDescent="0.2">
      <c r="A815" s="257"/>
    </row>
    <row r="816" spans="1:1" x14ac:dyDescent="0.2">
      <c r="A816" s="262"/>
    </row>
    <row r="817" spans="1:1" x14ac:dyDescent="0.2">
      <c r="A817" s="261"/>
    </row>
    <row r="818" spans="1:1" x14ac:dyDescent="0.2">
      <c r="A818" s="260"/>
    </row>
    <row r="819" spans="1:1" x14ac:dyDescent="0.2">
      <c r="A819" s="263"/>
    </row>
    <row r="820" spans="1:1" x14ac:dyDescent="0.2">
      <c r="A820" s="264"/>
    </row>
    <row r="822" spans="1:1" x14ac:dyDescent="0.2">
      <c r="A822" s="259"/>
    </row>
    <row r="823" spans="1:1" x14ac:dyDescent="0.2">
      <c r="A823" s="258"/>
    </row>
    <row r="824" spans="1:1" x14ac:dyDescent="0.2">
      <c r="A824" s="257"/>
    </row>
    <row r="825" spans="1:1" x14ac:dyDescent="0.2">
      <c r="A825" s="262"/>
    </row>
    <row r="826" spans="1:1" x14ac:dyDescent="0.2">
      <c r="A826" s="261"/>
    </row>
    <row r="827" spans="1:1" x14ac:dyDescent="0.2">
      <c r="A827" s="260"/>
    </row>
    <row r="828" spans="1:1" x14ac:dyDescent="0.2">
      <c r="A828" s="263"/>
    </row>
    <row r="829" spans="1:1" x14ac:dyDescent="0.2">
      <c r="A829" s="264"/>
    </row>
    <row r="830" spans="1:1" x14ac:dyDescent="0.2">
      <c r="A830" s="259"/>
    </row>
    <row r="831" spans="1:1" x14ac:dyDescent="0.2">
      <c r="A831" s="258"/>
    </row>
    <row r="832" spans="1:1" x14ac:dyDescent="0.2">
      <c r="A832" s="257"/>
    </row>
    <row r="833" spans="1:1" x14ac:dyDescent="0.2">
      <c r="A833" s="262"/>
    </row>
    <row r="834" spans="1:1" x14ac:dyDescent="0.2">
      <c r="A834" s="261"/>
    </row>
    <row r="835" spans="1:1" x14ac:dyDescent="0.2">
      <c r="A835" s="260"/>
    </row>
    <row r="836" spans="1:1" x14ac:dyDescent="0.2">
      <c r="A836" s="263"/>
    </row>
    <row r="837" spans="1:1" x14ac:dyDescent="0.2">
      <c r="A837" s="264"/>
    </row>
    <row r="838" spans="1:1" x14ac:dyDescent="0.2">
      <c r="A838" s="259"/>
    </row>
    <row r="839" spans="1:1" x14ac:dyDescent="0.2">
      <c r="A839" s="258"/>
    </row>
    <row r="840" spans="1:1" x14ac:dyDescent="0.2">
      <c r="A840" s="257"/>
    </row>
    <row r="841" spans="1:1" x14ac:dyDescent="0.2">
      <c r="A841" s="262"/>
    </row>
    <row r="842" spans="1:1" x14ac:dyDescent="0.2">
      <c r="A842" s="261"/>
    </row>
    <row r="843" spans="1:1" x14ac:dyDescent="0.2">
      <c r="A843" s="260"/>
    </row>
    <row r="844" spans="1:1" x14ac:dyDescent="0.2">
      <c r="A844" s="263"/>
    </row>
    <row r="845" spans="1:1" x14ac:dyDescent="0.2">
      <c r="A845" s="264"/>
    </row>
    <row r="846" spans="1:1" x14ac:dyDescent="0.2">
      <c r="A846" s="259"/>
    </row>
    <row r="847" spans="1:1" x14ac:dyDescent="0.2">
      <c r="A847" s="258"/>
    </row>
    <row r="848" spans="1:1" x14ac:dyDescent="0.2">
      <c r="A848" s="257"/>
    </row>
    <row r="849" spans="1:1" x14ac:dyDescent="0.2">
      <c r="A849" s="262"/>
    </row>
    <row r="850" spans="1:1" x14ac:dyDescent="0.2">
      <c r="A850" s="261"/>
    </row>
    <row r="851" spans="1:1" x14ac:dyDescent="0.2">
      <c r="A851" s="260"/>
    </row>
    <row r="852" spans="1:1" x14ac:dyDescent="0.2">
      <c r="A852" s="263"/>
    </row>
    <row r="853" spans="1:1" x14ac:dyDescent="0.2">
      <c r="A853" s="264"/>
    </row>
    <row r="855" spans="1:1" x14ac:dyDescent="0.2">
      <c r="A855" s="259"/>
    </row>
    <row r="856" spans="1:1" x14ac:dyDescent="0.2">
      <c r="A856" s="258"/>
    </row>
    <row r="857" spans="1:1" x14ac:dyDescent="0.2">
      <c r="A857" s="257"/>
    </row>
    <row r="858" spans="1:1" x14ac:dyDescent="0.2">
      <c r="A858" s="262"/>
    </row>
    <row r="859" spans="1:1" x14ac:dyDescent="0.2">
      <c r="A859" s="261"/>
    </row>
    <row r="860" spans="1:1" x14ac:dyDescent="0.2">
      <c r="A860" s="260"/>
    </row>
    <row r="861" spans="1:1" x14ac:dyDescent="0.2">
      <c r="A861" s="263"/>
    </row>
    <row r="862" spans="1:1" x14ac:dyDescent="0.2">
      <c r="A862" s="264"/>
    </row>
    <row r="863" spans="1:1" x14ac:dyDescent="0.2">
      <c r="A863" s="259"/>
    </row>
    <row r="864" spans="1:1" x14ac:dyDescent="0.2">
      <c r="A864" s="258"/>
    </row>
    <row r="865" spans="1:1" x14ac:dyDescent="0.2">
      <c r="A865" s="257"/>
    </row>
    <row r="866" spans="1:1" x14ac:dyDescent="0.2">
      <c r="A866" s="262"/>
    </row>
    <row r="867" spans="1:1" x14ac:dyDescent="0.2">
      <c r="A867" s="261"/>
    </row>
    <row r="868" spans="1:1" x14ac:dyDescent="0.2">
      <c r="A868" s="260"/>
    </row>
    <row r="869" spans="1:1" x14ac:dyDescent="0.2">
      <c r="A869" s="263"/>
    </row>
    <row r="870" spans="1:1" x14ac:dyDescent="0.2">
      <c r="A870" s="264"/>
    </row>
    <row r="871" spans="1:1" x14ac:dyDescent="0.2">
      <c r="A871" s="259"/>
    </row>
    <row r="872" spans="1:1" x14ac:dyDescent="0.2">
      <c r="A872" s="258"/>
    </row>
    <row r="873" spans="1:1" x14ac:dyDescent="0.2">
      <c r="A873" s="257"/>
    </row>
    <row r="874" spans="1:1" x14ac:dyDescent="0.2">
      <c r="A874" s="262"/>
    </row>
    <row r="875" spans="1:1" x14ac:dyDescent="0.2">
      <c r="A875" s="261"/>
    </row>
    <row r="876" spans="1:1" x14ac:dyDescent="0.2">
      <c r="A876" s="260"/>
    </row>
    <row r="877" spans="1:1" x14ac:dyDescent="0.2">
      <c r="A877" s="263"/>
    </row>
    <row r="878" spans="1:1" x14ac:dyDescent="0.2">
      <c r="A878" s="264"/>
    </row>
    <row r="879" spans="1:1" x14ac:dyDescent="0.2">
      <c r="A879" s="259"/>
    </row>
    <row r="880" spans="1:1" x14ac:dyDescent="0.2">
      <c r="A880" s="258"/>
    </row>
    <row r="881" spans="1:1" x14ac:dyDescent="0.2">
      <c r="A881" s="257"/>
    </row>
    <row r="882" spans="1:1" x14ac:dyDescent="0.2">
      <c r="A882" s="262"/>
    </row>
    <row r="883" spans="1:1" x14ac:dyDescent="0.2">
      <c r="A883" s="261"/>
    </row>
    <row r="884" spans="1:1" x14ac:dyDescent="0.2">
      <c r="A884" s="260"/>
    </row>
    <row r="885" spans="1:1" x14ac:dyDescent="0.2">
      <c r="A885" s="263"/>
    </row>
    <row r="886" spans="1:1" x14ac:dyDescent="0.2">
      <c r="A886" s="264"/>
    </row>
    <row r="888" spans="1:1" x14ac:dyDescent="0.2">
      <c r="A888" s="259"/>
    </row>
    <row r="889" spans="1:1" x14ac:dyDescent="0.2">
      <c r="A889" s="258"/>
    </row>
    <row r="890" spans="1:1" x14ac:dyDescent="0.2">
      <c r="A890" s="257"/>
    </row>
    <row r="891" spans="1:1" x14ac:dyDescent="0.2">
      <c r="A891" s="262"/>
    </row>
    <row r="892" spans="1:1" x14ac:dyDescent="0.2">
      <c r="A892" s="261"/>
    </row>
    <row r="893" spans="1:1" x14ac:dyDescent="0.2">
      <c r="A893" s="260"/>
    </row>
    <row r="894" spans="1:1" x14ac:dyDescent="0.2">
      <c r="A894" s="263"/>
    </row>
    <row r="895" spans="1:1" x14ac:dyDescent="0.2">
      <c r="A895" s="264"/>
    </row>
    <row r="896" spans="1:1" x14ac:dyDescent="0.2">
      <c r="A896" s="259"/>
    </row>
    <row r="897" spans="1:1" x14ac:dyDescent="0.2">
      <c r="A897" s="258"/>
    </row>
    <row r="898" spans="1:1" x14ac:dyDescent="0.2">
      <c r="A898" s="257"/>
    </row>
    <row r="899" spans="1:1" x14ac:dyDescent="0.2">
      <c r="A899" s="262"/>
    </row>
    <row r="900" spans="1:1" x14ac:dyDescent="0.2">
      <c r="A900" s="261"/>
    </row>
    <row r="901" spans="1:1" x14ac:dyDescent="0.2">
      <c r="A901" s="260"/>
    </row>
    <row r="902" spans="1:1" x14ac:dyDescent="0.2">
      <c r="A902" s="263"/>
    </row>
    <row r="903" spans="1:1" x14ac:dyDescent="0.2">
      <c r="A903" s="264"/>
    </row>
    <row r="904" spans="1:1" x14ac:dyDescent="0.2">
      <c r="A904" s="259"/>
    </row>
    <row r="905" spans="1:1" x14ac:dyDescent="0.2">
      <c r="A905" s="258"/>
    </row>
    <row r="906" spans="1:1" x14ac:dyDescent="0.2">
      <c r="A906" s="257"/>
    </row>
    <row r="907" spans="1:1" x14ac:dyDescent="0.2">
      <c r="A907" s="262"/>
    </row>
    <row r="908" spans="1:1" x14ac:dyDescent="0.2">
      <c r="A908" s="261"/>
    </row>
    <row r="909" spans="1:1" x14ac:dyDescent="0.2">
      <c r="A909" s="260"/>
    </row>
    <row r="910" spans="1:1" x14ac:dyDescent="0.2">
      <c r="A910" s="263"/>
    </row>
    <row r="911" spans="1:1" x14ac:dyDescent="0.2">
      <c r="A911" s="264"/>
    </row>
    <row r="912" spans="1:1" x14ac:dyDescent="0.2">
      <c r="A912" s="259"/>
    </row>
    <row r="913" spans="1:1" x14ac:dyDescent="0.2">
      <c r="A913" s="258"/>
    </row>
    <row r="914" spans="1:1" x14ac:dyDescent="0.2">
      <c r="A914" s="257"/>
    </row>
    <row r="915" spans="1:1" x14ac:dyDescent="0.2">
      <c r="A915" s="262"/>
    </row>
    <row r="916" spans="1:1" x14ac:dyDescent="0.2">
      <c r="A916" s="261"/>
    </row>
    <row r="917" spans="1:1" x14ac:dyDescent="0.2">
      <c r="A917" s="260"/>
    </row>
    <row r="918" spans="1:1" x14ac:dyDescent="0.2">
      <c r="A918" s="263"/>
    </row>
    <row r="919" spans="1:1" x14ac:dyDescent="0.2">
      <c r="A919" s="264"/>
    </row>
    <row r="921" spans="1:1" x14ac:dyDescent="0.2">
      <c r="A921" s="259"/>
    </row>
    <row r="922" spans="1:1" x14ac:dyDescent="0.2">
      <c r="A922" s="258"/>
    </row>
    <row r="923" spans="1:1" x14ac:dyDescent="0.2">
      <c r="A923" s="257"/>
    </row>
    <row r="924" spans="1:1" x14ac:dyDescent="0.2">
      <c r="A924" s="262"/>
    </row>
    <row r="925" spans="1:1" x14ac:dyDescent="0.2">
      <c r="A925" s="261"/>
    </row>
    <row r="926" spans="1:1" x14ac:dyDescent="0.2">
      <c r="A926" s="260"/>
    </row>
    <row r="927" spans="1:1" x14ac:dyDescent="0.2">
      <c r="A927" s="263"/>
    </row>
    <row r="928" spans="1:1" x14ac:dyDescent="0.2">
      <c r="A928" s="264"/>
    </row>
    <row r="929" spans="1:1" x14ac:dyDescent="0.2">
      <c r="A929" s="259"/>
    </row>
    <row r="930" spans="1:1" x14ac:dyDescent="0.2">
      <c r="A930" s="258"/>
    </row>
    <row r="931" spans="1:1" x14ac:dyDescent="0.2">
      <c r="A931" s="257"/>
    </row>
    <row r="932" spans="1:1" x14ac:dyDescent="0.2">
      <c r="A932" s="262"/>
    </row>
    <row r="933" spans="1:1" x14ac:dyDescent="0.2">
      <c r="A933" s="261"/>
    </row>
    <row r="934" spans="1:1" x14ac:dyDescent="0.2">
      <c r="A934" s="260"/>
    </row>
    <row r="935" spans="1:1" x14ac:dyDescent="0.2">
      <c r="A935" s="263"/>
    </row>
    <row r="936" spans="1:1" x14ac:dyDescent="0.2">
      <c r="A936" s="264"/>
    </row>
    <row r="937" spans="1:1" x14ac:dyDescent="0.2">
      <c r="A937" s="259"/>
    </row>
    <row r="938" spans="1:1" x14ac:dyDescent="0.2">
      <c r="A938" s="258"/>
    </row>
    <row r="939" spans="1:1" x14ac:dyDescent="0.2">
      <c r="A939" s="257"/>
    </row>
    <row r="940" spans="1:1" x14ac:dyDescent="0.2">
      <c r="A940" s="262"/>
    </row>
    <row r="941" spans="1:1" x14ac:dyDescent="0.2">
      <c r="A941" s="261"/>
    </row>
    <row r="942" spans="1:1" x14ac:dyDescent="0.2">
      <c r="A942" s="260"/>
    </row>
    <row r="943" spans="1:1" x14ac:dyDescent="0.2">
      <c r="A943" s="263"/>
    </row>
    <row r="944" spans="1:1" x14ac:dyDescent="0.2">
      <c r="A944" s="264"/>
    </row>
    <row r="945" spans="1:1" x14ac:dyDescent="0.2">
      <c r="A945" s="259"/>
    </row>
    <row r="946" spans="1:1" x14ac:dyDescent="0.2">
      <c r="A946" s="258"/>
    </row>
    <row r="947" spans="1:1" x14ac:dyDescent="0.2">
      <c r="A947" s="257"/>
    </row>
    <row r="948" spans="1:1" x14ac:dyDescent="0.2">
      <c r="A948" s="262"/>
    </row>
    <row r="949" spans="1:1" x14ac:dyDescent="0.2">
      <c r="A949" s="261"/>
    </row>
    <row r="950" spans="1:1" x14ac:dyDescent="0.2">
      <c r="A950" s="260"/>
    </row>
    <row r="951" spans="1:1" x14ac:dyDescent="0.2">
      <c r="A951" s="263"/>
    </row>
    <row r="952" spans="1:1" x14ac:dyDescent="0.2">
      <c r="A952" s="264"/>
    </row>
    <row r="954" spans="1:1" x14ac:dyDescent="0.2">
      <c r="A954" s="259"/>
    </row>
    <row r="955" spans="1:1" x14ac:dyDescent="0.2">
      <c r="A955" s="258"/>
    </row>
    <row r="956" spans="1:1" x14ac:dyDescent="0.2">
      <c r="A956" s="257"/>
    </row>
    <row r="957" spans="1:1" x14ac:dyDescent="0.2">
      <c r="A957" s="262"/>
    </row>
    <row r="958" spans="1:1" x14ac:dyDescent="0.2">
      <c r="A958" s="261"/>
    </row>
    <row r="959" spans="1:1" x14ac:dyDescent="0.2">
      <c r="A959" s="260"/>
    </row>
    <row r="960" spans="1:1" x14ac:dyDescent="0.2">
      <c r="A960" s="263"/>
    </row>
    <row r="961" spans="1:1" x14ac:dyDescent="0.2">
      <c r="A961" s="264"/>
    </row>
    <row r="962" spans="1:1" x14ac:dyDescent="0.2">
      <c r="A962" s="259"/>
    </row>
    <row r="963" spans="1:1" x14ac:dyDescent="0.2">
      <c r="A963" s="258"/>
    </row>
    <row r="964" spans="1:1" x14ac:dyDescent="0.2">
      <c r="A964" s="257"/>
    </row>
    <row r="965" spans="1:1" x14ac:dyDescent="0.2">
      <c r="A965" s="262"/>
    </row>
    <row r="966" spans="1:1" x14ac:dyDescent="0.2">
      <c r="A966" s="261"/>
    </row>
    <row r="967" spans="1:1" x14ac:dyDescent="0.2">
      <c r="A967" s="260"/>
    </row>
    <row r="968" spans="1:1" x14ac:dyDescent="0.2">
      <c r="A968" s="263"/>
    </row>
    <row r="969" spans="1:1" x14ac:dyDescent="0.2">
      <c r="A969" s="264"/>
    </row>
    <row r="970" spans="1:1" x14ac:dyDescent="0.2">
      <c r="A970" s="259"/>
    </row>
    <row r="971" spans="1:1" x14ac:dyDescent="0.2">
      <c r="A971" s="258"/>
    </row>
    <row r="972" spans="1:1" x14ac:dyDescent="0.2">
      <c r="A972" s="257"/>
    </row>
    <row r="973" spans="1:1" x14ac:dyDescent="0.2">
      <c r="A973" s="262"/>
    </row>
    <row r="974" spans="1:1" x14ac:dyDescent="0.2">
      <c r="A974" s="261"/>
    </row>
    <row r="975" spans="1:1" x14ac:dyDescent="0.2">
      <c r="A975" s="260"/>
    </row>
    <row r="976" spans="1:1" x14ac:dyDescent="0.2">
      <c r="A976" s="263"/>
    </row>
    <row r="977" spans="1:1" x14ac:dyDescent="0.2">
      <c r="A977" s="264"/>
    </row>
    <row r="978" spans="1:1" x14ac:dyDescent="0.2">
      <c r="A978" s="259"/>
    </row>
    <row r="979" spans="1:1" x14ac:dyDescent="0.2">
      <c r="A979" s="258"/>
    </row>
    <row r="980" spans="1:1" x14ac:dyDescent="0.2">
      <c r="A980" s="257"/>
    </row>
    <row r="981" spans="1:1" x14ac:dyDescent="0.2">
      <c r="A981" s="262"/>
    </row>
    <row r="982" spans="1:1" x14ac:dyDescent="0.2">
      <c r="A982" s="261"/>
    </row>
    <row r="983" spans="1:1" x14ac:dyDescent="0.2">
      <c r="A983" s="260"/>
    </row>
    <row r="984" spans="1:1" x14ac:dyDescent="0.2">
      <c r="A984" s="263"/>
    </row>
    <row r="985" spans="1:1" x14ac:dyDescent="0.2">
      <c r="A985" s="264"/>
    </row>
    <row r="987" spans="1:1" x14ac:dyDescent="0.2">
      <c r="A987" s="259"/>
    </row>
    <row r="988" spans="1:1" x14ac:dyDescent="0.2">
      <c r="A988" s="258"/>
    </row>
    <row r="989" spans="1:1" x14ac:dyDescent="0.2">
      <c r="A989" s="257"/>
    </row>
    <row r="990" spans="1:1" x14ac:dyDescent="0.2">
      <c r="A990" s="262"/>
    </row>
    <row r="991" spans="1:1" x14ac:dyDescent="0.2">
      <c r="A991" s="261"/>
    </row>
    <row r="992" spans="1:1" x14ac:dyDescent="0.2">
      <c r="A992" s="260"/>
    </row>
    <row r="993" spans="1:1" x14ac:dyDescent="0.2">
      <c r="A993" s="263"/>
    </row>
    <row r="994" spans="1:1" x14ac:dyDescent="0.2">
      <c r="A994" s="264"/>
    </row>
    <row r="995" spans="1:1" x14ac:dyDescent="0.2">
      <c r="A995" s="259"/>
    </row>
    <row r="996" spans="1:1" x14ac:dyDescent="0.2">
      <c r="A996" s="258"/>
    </row>
    <row r="997" spans="1:1" x14ac:dyDescent="0.2">
      <c r="A997" s="257"/>
    </row>
    <row r="998" spans="1:1" x14ac:dyDescent="0.2">
      <c r="A998" s="262"/>
    </row>
    <row r="999" spans="1:1" x14ac:dyDescent="0.2">
      <c r="A999" s="261"/>
    </row>
    <row r="1000" spans="1:1" x14ac:dyDescent="0.2">
      <c r="A1000" s="260"/>
    </row>
    <row r="1001" spans="1:1" x14ac:dyDescent="0.2">
      <c r="A1001" s="263"/>
    </row>
    <row r="1002" spans="1:1" x14ac:dyDescent="0.2">
      <c r="A1002" s="264"/>
    </row>
    <row r="1003" spans="1:1" x14ac:dyDescent="0.2">
      <c r="A1003" s="259"/>
    </row>
    <row r="1004" spans="1:1" x14ac:dyDescent="0.2">
      <c r="A1004" s="258"/>
    </row>
    <row r="1005" spans="1:1" x14ac:dyDescent="0.2">
      <c r="A1005" s="257"/>
    </row>
    <row r="1006" spans="1:1" x14ac:dyDescent="0.2">
      <c r="A1006" s="262"/>
    </row>
    <row r="1007" spans="1:1" x14ac:dyDescent="0.2">
      <c r="A1007" s="261"/>
    </row>
    <row r="1008" spans="1:1" x14ac:dyDescent="0.2">
      <c r="A1008" s="260"/>
    </row>
    <row r="1009" spans="1:1" x14ac:dyDescent="0.2">
      <c r="A1009" s="263"/>
    </row>
    <row r="1010" spans="1:1" x14ac:dyDescent="0.2">
      <c r="A1010" s="264"/>
    </row>
    <row r="1011" spans="1:1" x14ac:dyDescent="0.2">
      <c r="A1011" s="259"/>
    </row>
    <row r="1012" spans="1:1" x14ac:dyDescent="0.2">
      <c r="A1012" s="258"/>
    </row>
    <row r="1013" spans="1:1" x14ac:dyDescent="0.2">
      <c r="A1013" s="257"/>
    </row>
    <row r="1014" spans="1:1" x14ac:dyDescent="0.2">
      <c r="A1014" s="262"/>
    </row>
    <row r="1015" spans="1:1" x14ac:dyDescent="0.2">
      <c r="A1015" s="261"/>
    </row>
    <row r="1016" spans="1:1" x14ac:dyDescent="0.2">
      <c r="A1016" s="260"/>
    </row>
    <row r="1017" spans="1:1" x14ac:dyDescent="0.2">
      <c r="A1017" s="263"/>
    </row>
    <row r="1018" spans="1:1" x14ac:dyDescent="0.2">
      <c r="A1018" s="264"/>
    </row>
    <row r="1020" spans="1:1" x14ac:dyDescent="0.2">
      <c r="A1020" s="259"/>
    </row>
    <row r="1021" spans="1:1" x14ac:dyDescent="0.2">
      <c r="A1021" s="258"/>
    </row>
    <row r="1022" spans="1:1" x14ac:dyDescent="0.2">
      <c r="A1022" s="257"/>
    </row>
    <row r="1023" spans="1:1" x14ac:dyDescent="0.2">
      <c r="A1023" s="262"/>
    </row>
    <row r="1024" spans="1:1" x14ac:dyDescent="0.2">
      <c r="A1024" s="261"/>
    </row>
    <row r="1025" spans="1:1" x14ac:dyDescent="0.2">
      <c r="A1025" s="260"/>
    </row>
    <row r="1026" spans="1:1" x14ac:dyDescent="0.2">
      <c r="A1026" s="263"/>
    </row>
    <row r="1027" spans="1:1" x14ac:dyDescent="0.2">
      <c r="A1027" s="264"/>
    </row>
    <row r="1028" spans="1:1" x14ac:dyDescent="0.2">
      <c r="A1028" s="259"/>
    </row>
    <row r="1029" spans="1:1" x14ac:dyDescent="0.2">
      <c r="A1029" s="258"/>
    </row>
    <row r="1030" spans="1:1" x14ac:dyDescent="0.2">
      <c r="A1030" s="257"/>
    </row>
    <row r="1031" spans="1:1" x14ac:dyDescent="0.2">
      <c r="A1031" s="262"/>
    </row>
    <row r="1032" spans="1:1" x14ac:dyDescent="0.2">
      <c r="A1032" s="261"/>
    </row>
    <row r="1033" spans="1:1" x14ac:dyDescent="0.2">
      <c r="A1033" s="260"/>
    </row>
    <row r="1034" spans="1:1" x14ac:dyDescent="0.2">
      <c r="A1034" s="263"/>
    </row>
    <row r="1035" spans="1:1" x14ac:dyDescent="0.2">
      <c r="A1035" s="264"/>
    </row>
    <row r="1036" spans="1:1" x14ac:dyDescent="0.2">
      <c r="A1036" s="259"/>
    </row>
    <row r="1037" spans="1:1" x14ac:dyDescent="0.2">
      <c r="A1037" s="258"/>
    </row>
    <row r="1038" spans="1:1" x14ac:dyDescent="0.2">
      <c r="A1038" s="257"/>
    </row>
    <row r="1039" spans="1:1" x14ac:dyDescent="0.2">
      <c r="A1039" s="262"/>
    </row>
    <row r="1040" spans="1:1" x14ac:dyDescent="0.2">
      <c r="A1040" s="261"/>
    </row>
    <row r="1041" spans="1:1" x14ac:dyDescent="0.2">
      <c r="A1041" s="260"/>
    </row>
    <row r="1042" spans="1:1" x14ac:dyDescent="0.2">
      <c r="A1042" s="263"/>
    </row>
    <row r="1043" spans="1:1" x14ac:dyDescent="0.2">
      <c r="A1043" s="264"/>
    </row>
    <row r="1044" spans="1:1" x14ac:dyDescent="0.2">
      <c r="A1044" s="259"/>
    </row>
    <row r="1045" spans="1:1" x14ac:dyDescent="0.2">
      <c r="A1045" s="258"/>
    </row>
    <row r="1046" spans="1:1" x14ac:dyDescent="0.2">
      <c r="A1046" s="257"/>
    </row>
    <row r="1047" spans="1:1" x14ac:dyDescent="0.2">
      <c r="A1047" s="262"/>
    </row>
    <row r="1048" spans="1:1" x14ac:dyDescent="0.2">
      <c r="A1048" s="261"/>
    </row>
    <row r="1049" spans="1:1" x14ac:dyDescent="0.2">
      <c r="A1049" s="260"/>
    </row>
    <row r="1050" spans="1:1" x14ac:dyDescent="0.2">
      <c r="A1050" s="263"/>
    </row>
    <row r="1051" spans="1:1" x14ac:dyDescent="0.2">
      <c r="A1051" s="264"/>
    </row>
    <row r="1053" spans="1:1" x14ac:dyDescent="0.2">
      <c r="A1053" s="259"/>
    </row>
    <row r="1054" spans="1:1" x14ac:dyDescent="0.2">
      <c r="A1054" s="258"/>
    </row>
    <row r="1055" spans="1:1" x14ac:dyDescent="0.2">
      <c r="A1055" s="257"/>
    </row>
    <row r="1056" spans="1:1" x14ac:dyDescent="0.2">
      <c r="A1056" s="262"/>
    </row>
    <row r="1057" spans="1:1" x14ac:dyDescent="0.2">
      <c r="A1057" s="261"/>
    </row>
    <row r="1058" spans="1:1" x14ac:dyDescent="0.2">
      <c r="A1058" s="260"/>
    </row>
    <row r="1059" spans="1:1" x14ac:dyDescent="0.2">
      <c r="A1059" s="263"/>
    </row>
    <row r="1060" spans="1:1" x14ac:dyDescent="0.2">
      <c r="A1060" s="264"/>
    </row>
    <row r="1061" spans="1:1" x14ac:dyDescent="0.2">
      <c r="A1061" s="259"/>
    </row>
    <row r="1062" spans="1:1" x14ac:dyDescent="0.2">
      <c r="A1062" s="258"/>
    </row>
    <row r="1063" spans="1:1" x14ac:dyDescent="0.2">
      <c r="A1063" s="257"/>
    </row>
    <row r="1064" spans="1:1" x14ac:dyDescent="0.2">
      <c r="A1064" s="262"/>
    </row>
    <row r="1065" spans="1:1" x14ac:dyDescent="0.2">
      <c r="A1065" s="261"/>
    </row>
    <row r="1066" spans="1:1" x14ac:dyDescent="0.2">
      <c r="A1066" s="260"/>
    </row>
    <row r="1067" spans="1:1" x14ac:dyDescent="0.2">
      <c r="A1067" s="263"/>
    </row>
    <row r="1068" spans="1:1" x14ac:dyDescent="0.2">
      <c r="A1068" s="264"/>
    </row>
  </sheetData>
  <sheetProtection formatColumns="0" insertRows="0" autoFilter="0"/>
  <phoneticPr fontId="19" type="noConversion"/>
  <dataValidations count="5">
    <dataValidation type="list" allowBlank="1" showInputMessage="1" showErrorMessage="1" sqref="K13:K19" xr:uid="{4C014287-71F0-4F3C-8DF0-856C195D059B}">
      <formula1>REASON</formula1>
    </dataValidation>
    <dataValidation type="list" allowBlank="1" showInputMessage="1" showErrorMessage="1" sqref="L13:L19" xr:uid="{953F87DA-A72D-43F7-93E8-F2224FDB2996}">
      <formula1>ACTIONS</formula1>
    </dataValidation>
    <dataValidation type="list" allowBlank="1" showInputMessage="1" showErrorMessage="1" sqref="J13:J19" xr:uid="{86F78143-40B0-4174-9D27-97AC7584010A}">
      <formula1>PURPOSE</formula1>
    </dataValidation>
    <dataValidation type="list" allowBlank="1" showInputMessage="1" showErrorMessage="1" sqref="N13:N19" xr:uid="{562DBB7A-292E-4D9D-B4CA-6DA7779D5A84}">
      <formula1>RULING</formula1>
    </dataValidation>
    <dataValidation type="list" allowBlank="1" showInputMessage="1" showErrorMessage="1" errorTitle="Invalid suit number" error="Choose a suit number from the dropdown list." sqref="C13:C1078" xr:uid="{CA05BF6D-A3BC-4E91-9B5B-3867B9BC157E}">
      <formula1>_xlfn.ANCHORARRAY($Q$3)</formula1>
    </dataValidation>
  </dataValidations>
  <hyperlinks>
    <hyperlink ref="D1" location="'CASE REGISTER'!A1" display="CASE REGISTER" xr:uid="{D78D888B-67C9-4BC0-88F3-3B5807342D42}"/>
    <hyperlink ref="E1" location="'AUTO CAUSE LIST'!A1" display="AUTO CAUSE LIST" xr:uid="{DFA1E1B8-C157-41C6-873F-9642017C83D5}"/>
    <hyperlink ref="F1" location="INSIGHTS!A1" display="INSIGHTS" xr:uid="{4BECE712-B3A8-459F-8FAD-89032BC537E0}"/>
    <hyperlink ref="C1" location="'HOME PAGE'!A1" display="HOME" xr:uid="{2FC764E1-9901-4B40-A37F-08A67F45D4ED}"/>
    <hyperlink ref="G1" location="'COUNSEL DIRECTORY'!A1" tooltip="COUNSEL DIRECTORY" display="'COUNSEL DIRECTORY'!A1" xr:uid="{87F99570-98FB-413B-9CB8-EB0FE950491F}"/>
    <hyperlink ref="H1" location="'QUARTER REPORT'!A1" tooltip="QUARTERLY REPORTS" display="'QUARTER REPORT'!A1" xr:uid="{B1FBE51F-8312-4B79-9E19-B17ACFFBD464}"/>
  </hyperlink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0FF93-8D8D-4570-A269-48C7D453E02C}">
  <sheetPr>
    <tabColor theme="1" tint="4.9989318521683403E-2"/>
  </sheetPr>
  <dimension ref="A4:AQ99"/>
  <sheetViews>
    <sheetView topLeftCell="A86" workbookViewId="0">
      <selection activeCell="A91" sqref="A91"/>
    </sheetView>
  </sheetViews>
  <sheetFormatPr defaultRowHeight="15" x14ac:dyDescent="0.2"/>
  <cols>
    <col min="1" max="1" width="39.01171875" bestFit="1" customWidth="1"/>
    <col min="3" max="3" width="39.01171875" bestFit="1" customWidth="1"/>
    <col min="5" max="5" width="35.109375" bestFit="1" customWidth="1"/>
    <col min="7" max="7" width="24.34765625" bestFit="1" customWidth="1"/>
    <col min="9" max="9" width="16.41015625" customWidth="1"/>
    <col min="11" max="11" width="13.1796875" bestFit="1" customWidth="1"/>
    <col min="15" max="15" width="18.96484375" bestFit="1" customWidth="1"/>
    <col min="17" max="17" width="13.71875" bestFit="1" customWidth="1"/>
    <col min="19" max="19" width="15.33203125" bestFit="1" customWidth="1"/>
    <col min="25" max="25" width="21.38671875" bestFit="1" customWidth="1"/>
    <col min="27" max="27" width="28.11328125" bestFit="1" customWidth="1"/>
    <col min="29" max="29" width="32.5546875" bestFit="1" customWidth="1"/>
    <col min="31" max="31" width="14.2578125" bestFit="1" customWidth="1"/>
    <col min="33" max="33" width="20.984375" bestFit="1" customWidth="1"/>
    <col min="41" max="41" width="23.67578125" bestFit="1" customWidth="1"/>
    <col min="43" max="43" width="14.52734375" bestFit="1" customWidth="1"/>
  </cols>
  <sheetData>
    <row r="4" spans="1:43" ht="18.75" thickBot="1" x14ac:dyDescent="0.3">
      <c r="B4" s="6" t="s">
        <v>21</v>
      </c>
      <c r="C4" s="15"/>
    </row>
    <row r="5" spans="1:43" ht="15.75" thickTop="1" x14ac:dyDescent="0.2">
      <c r="B5" t="s">
        <v>22</v>
      </c>
    </row>
    <row r="7" spans="1:43" ht="20.25" thickBot="1" x14ac:dyDescent="0.25">
      <c r="A7" s="4" t="s">
        <v>90</v>
      </c>
      <c r="C7" s="111" t="s">
        <v>315</v>
      </c>
      <c r="E7" s="111" t="s">
        <v>224</v>
      </c>
      <c r="G7" s="111" t="s">
        <v>307</v>
      </c>
      <c r="I7" s="111" t="s">
        <v>32</v>
      </c>
      <c r="K7" s="4" t="s">
        <v>231</v>
      </c>
      <c r="M7" s="4" t="s">
        <v>52</v>
      </c>
      <c r="O7" s="4" t="s">
        <v>28</v>
      </c>
      <c r="Q7" s="27" t="s">
        <v>316</v>
      </c>
      <c r="U7" s="4" t="s">
        <v>85</v>
      </c>
      <c r="V7" s="4"/>
      <c r="X7" s="4" t="s">
        <v>29</v>
      </c>
      <c r="Z7" s="4" t="s">
        <v>30</v>
      </c>
      <c r="AA7" s="4"/>
      <c r="AB7" s="4"/>
      <c r="AC7" s="3" t="s">
        <v>317</v>
      </c>
      <c r="AE7" s="4" t="s">
        <v>31</v>
      </c>
      <c r="AG7" s="4" t="s">
        <v>32</v>
      </c>
      <c r="AH7" s="7"/>
      <c r="AO7" t="s">
        <v>34</v>
      </c>
      <c r="AQ7" t="s">
        <v>35</v>
      </c>
    </row>
    <row r="8" spans="1:43" ht="16.5" thickTop="1" x14ac:dyDescent="0.2">
      <c r="A8" t="s">
        <v>102</v>
      </c>
      <c r="C8" s="109" t="s">
        <v>28</v>
      </c>
      <c r="E8" s="109" t="s">
        <v>24</v>
      </c>
      <c r="G8" s="109" t="s">
        <v>53</v>
      </c>
      <c r="I8" s="109" t="s">
        <v>38</v>
      </c>
      <c r="K8" t="s">
        <v>26</v>
      </c>
      <c r="M8" t="s">
        <v>225</v>
      </c>
      <c r="O8" t="s">
        <v>308</v>
      </c>
      <c r="Q8" s="109" t="s">
        <v>59</v>
      </c>
      <c r="U8" t="s">
        <v>94</v>
      </c>
      <c r="X8" t="s">
        <v>41</v>
      </c>
      <c r="Z8" t="s">
        <v>42</v>
      </c>
      <c r="AC8" t="s">
        <v>41</v>
      </c>
      <c r="AH8" s="8"/>
      <c r="AO8" t="s">
        <v>44</v>
      </c>
      <c r="AQ8" t="s">
        <v>45</v>
      </c>
    </row>
    <row r="9" spans="1:43" ht="15.75" x14ac:dyDescent="0.2">
      <c r="A9" t="s">
        <v>110</v>
      </c>
      <c r="C9" s="110" t="s">
        <v>307</v>
      </c>
      <c r="E9" s="110" t="s">
        <v>23</v>
      </c>
      <c r="G9" s="108" t="s">
        <v>34</v>
      </c>
      <c r="I9" s="110" t="s">
        <v>45</v>
      </c>
      <c r="M9" t="s">
        <v>112</v>
      </c>
      <c r="O9" t="s">
        <v>52</v>
      </c>
      <c r="Q9" s="110" t="s">
        <v>321</v>
      </c>
      <c r="U9" t="s">
        <v>104</v>
      </c>
      <c r="X9" t="s">
        <v>54</v>
      </c>
      <c r="AC9" t="s">
        <v>318</v>
      </c>
      <c r="AH9" s="9"/>
      <c r="AO9" t="s">
        <v>56</v>
      </c>
    </row>
    <row r="10" spans="1:43" ht="15.75" x14ac:dyDescent="0.2">
      <c r="A10" t="s">
        <v>116</v>
      </c>
      <c r="C10" s="109" t="s">
        <v>32</v>
      </c>
      <c r="E10" s="109" t="s">
        <v>316</v>
      </c>
      <c r="I10" s="107" t="s">
        <v>35</v>
      </c>
      <c r="Q10" s="107" t="s">
        <v>322</v>
      </c>
      <c r="AH10" s="8"/>
      <c r="AO10" t="s">
        <v>65</v>
      </c>
    </row>
    <row r="11" spans="1:43" ht="15.75" x14ac:dyDescent="0.2">
      <c r="A11" t="s">
        <v>123</v>
      </c>
      <c r="C11" s="110" t="s">
        <v>52</v>
      </c>
      <c r="E11" s="110" t="s">
        <v>25</v>
      </c>
      <c r="O11" s="4" t="s">
        <v>308</v>
      </c>
      <c r="AC11" s="3" t="s">
        <v>41</v>
      </c>
      <c r="AH11" s="10"/>
      <c r="AO11" t="s">
        <v>70</v>
      </c>
    </row>
    <row r="12" spans="1:43" ht="15.75" x14ac:dyDescent="0.2">
      <c r="A12" t="s">
        <v>133</v>
      </c>
      <c r="C12" s="109" t="s">
        <v>317</v>
      </c>
      <c r="E12" s="107" t="s">
        <v>30</v>
      </c>
      <c r="O12" t="s">
        <v>309</v>
      </c>
      <c r="AC12" t="s">
        <v>23</v>
      </c>
      <c r="AH12" s="8"/>
    </row>
    <row r="13" spans="1:43" ht="15.75" x14ac:dyDescent="0.2">
      <c r="A13" t="s">
        <v>139</v>
      </c>
      <c r="C13" s="110" t="s">
        <v>231</v>
      </c>
      <c r="O13" t="s">
        <v>310</v>
      </c>
      <c r="AH13" s="11"/>
    </row>
    <row r="14" spans="1:43" ht="15.75" x14ac:dyDescent="0.2">
      <c r="A14" t="s">
        <v>145</v>
      </c>
      <c r="C14" s="107" t="s">
        <v>224</v>
      </c>
      <c r="AC14" s="3" t="s">
        <v>318</v>
      </c>
      <c r="AH14" s="11"/>
      <c r="AO14" s="4" t="s">
        <v>14</v>
      </c>
      <c r="AQ14" s="4" t="s">
        <v>81</v>
      </c>
    </row>
    <row r="15" spans="1:43" ht="15.75" x14ac:dyDescent="0.2">
      <c r="A15" t="s">
        <v>150</v>
      </c>
      <c r="AC15" t="s">
        <v>319</v>
      </c>
      <c r="AH15" s="11"/>
      <c r="AO15" t="s">
        <v>82</v>
      </c>
      <c r="AQ15" t="s">
        <v>95</v>
      </c>
    </row>
    <row r="16" spans="1:43" ht="15.75" x14ac:dyDescent="0.2">
      <c r="AC16" t="s">
        <v>84</v>
      </c>
      <c r="AH16" s="11"/>
      <c r="AO16" t="s">
        <v>63</v>
      </c>
      <c r="AQ16" t="s">
        <v>105</v>
      </c>
    </row>
    <row r="17" spans="1:43" ht="15.75" x14ac:dyDescent="0.2">
      <c r="P17" t="s">
        <v>83</v>
      </c>
      <c r="R17" s="4"/>
      <c r="Y17" s="4" t="s">
        <v>226</v>
      </c>
      <c r="AA17" s="4" t="s">
        <v>313</v>
      </c>
      <c r="AC17" t="s">
        <v>320</v>
      </c>
      <c r="AE17" s="4" t="s">
        <v>86</v>
      </c>
      <c r="AG17" s="4" t="s">
        <v>87</v>
      </c>
      <c r="AH17" s="11"/>
      <c r="AO17" t="s">
        <v>350</v>
      </c>
      <c r="AQ17" t="s">
        <v>111</v>
      </c>
    </row>
    <row r="18" spans="1:43" ht="15.75" x14ac:dyDescent="0.2">
      <c r="P18" t="s">
        <v>92</v>
      </c>
      <c r="Y18" t="s">
        <v>96</v>
      </c>
      <c r="AA18" t="s">
        <v>97</v>
      </c>
      <c r="AE18" t="s">
        <v>98</v>
      </c>
      <c r="AG18" t="s">
        <v>99</v>
      </c>
      <c r="AH18" s="11"/>
      <c r="AQ18" t="s">
        <v>52</v>
      </c>
    </row>
    <row r="19" spans="1:43" ht="15.75" x14ac:dyDescent="0.2">
      <c r="A19" s="4" t="s">
        <v>240</v>
      </c>
      <c r="C19" s="111" t="s">
        <v>23</v>
      </c>
      <c r="E19" s="111" t="s">
        <v>24</v>
      </c>
      <c r="G19" s="111" t="s">
        <v>25</v>
      </c>
      <c r="I19" s="111" t="s">
        <v>26</v>
      </c>
      <c r="K19" s="4" t="s">
        <v>27</v>
      </c>
      <c r="M19" s="4" t="s">
        <v>225</v>
      </c>
      <c r="P19" t="s">
        <v>103</v>
      </c>
      <c r="Y19" t="s">
        <v>106</v>
      </c>
      <c r="AA19" s="109" t="s">
        <v>273</v>
      </c>
      <c r="AE19" t="s">
        <v>28</v>
      </c>
      <c r="AH19" s="11"/>
      <c r="AQ19" t="s">
        <v>126</v>
      </c>
    </row>
    <row r="20" spans="1:43" ht="15.75" x14ac:dyDescent="0.2">
      <c r="C20" s="109" t="s">
        <v>37</v>
      </c>
      <c r="E20" s="109" t="s">
        <v>38</v>
      </c>
      <c r="G20" s="109" t="s">
        <v>44</v>
      </c>
      <c r="I20" s="109" t="s">
        <v>50</v>
      </c>
      <c r="K20" t="s">
        <v>40</v>
      </c>
      <c r="M20" t="s">
        <v>347</v>
      </c>
      <c r="Y20" t="s">
        <v>112</v>
      </c>
      <c r="AA20" s="110" t="s">
        <v>301</v>
      </c>
      <c r="AH20" s="11"/>
      <c r="AQ20" t="s">
        <v>134</v>
      </c>
    </row>
    <row r="21" spans="1:43" ht="15.75" x14ac:dyDescent="0.2">
      <c r="C21" s="110" t="s">
        <v>58</v>
      </c>
      <c r="E21" s="110" t="s">
        <v>59</v>
      </c>
      <c r="G21" s="110" t="s">
        <v>60</v>
      </c>
      <c r="I21" s="110" t="s">
        <v>39</v>
      </c>
      <c r="K21" t="s">
        <v>51</v>
      </c>
      <c r="M21" t="s">
        <v>348</v>
      </c>
      <c r="Y21" t="s">
        <v>118</v>
      </c>
      <c r="AA21" s="109" t="s">
        <v>270</v>
      </c>
      <c r="AE21" t="s">
        <v>120</v>
      </c>
      <c r="AG21" t="s">
        <v>121</v>
      </c>
      <c r="AH21" s="11"/>
      <c r="AO21" s="3" t="s">
        <v>236</v>
      </c>
      <c r="AQ21" s="4" t="s">
        <v>63</v>
      </c>
    </row>
    <row r="22" spans="1:43" ht="15.75" x14ac:dyDescent="0.2">
      <c r="C22" s="109" t="s">
        <v>41</v>
      </c>
      <c r="E22" s="107" t="s">
        <v>48</v>
      </c>
      <c r="G22" s="109" t="s">
        <v>7</v>
      </c>
      <c r="I22" s="109" t="s">
        <v>61</v>
      </c>
      <c r="K22" t="s">
        <v>62</v>
      </c>
      <c r="Y22" t="s">
        <v>127</v>
      </c>
      <c r="AA22" s="110" t="s">
        <v>268</v>
      </c>
      <c r="AE22" t="s">
        <v>129</v>
      </c>
      <c r="AG22" t="s">
        <v>130</v>
      </c>
      <c r="AH22" s="11"/>
      <c r="AO22" t="s">
        <v>124</v>
      </c>
      <c r="AQ22" t="s">
        <v>93</v>
      </c>
    </row>
    <row r="23" spans="1:43" ht="15.75" x14ac:dyDescent="0.2">
      <c r="C23" s="108" t="s">
        <v>47</v>
      </c>
      <c r="G23" s="110" t="s">
        <v>227</v>
      </c>
      <c r="I23" s="108" t="s">
        <v>68</v>
      </c>
      <c r="Y23" t="s">
        <v>135</v>
      </c>
      <c r="AA23" s="109" t="s">
        <v>107</v>
      </c>
      <c r="AE23" t="s">
        <v>136</v>
      </c>
      <c r="AH23" s="11"/>
      <c r="AO23" t="s">
        <v>28</v>
      </c>
      <c r="AQ23" t="s">
        <v>84</v>
      </c>
    </row>
    <row r="24" spans="1:43" ht="15.75" x14ac:dyDescent="0.2">
      <c r="G24" s="109" t="s">
        <v>244</v>
      </c>
      <c r="Y24" t="s">
        <v>141</v>
      </c>
      <c r="AA24" s="110" t="s">
        <v>269</v>
      </c>
      <c r="AH24" s="11"/>
      <c r="AO24" t="s">
        <v>303</v>
      </c>
      <c r="AQ24" t="s">
        <v>92</v>
      </c>
    </row>
    <row r="25" spans="1:43" ht="15.75" x14ac:dyDescent="0.2">
      <c r="G25" s="110" t="s">
        <v>67</v>
      </c>
      <c r="J25" s="111" t="s">
        <v>140</v>
      </c>
      <c r="Y25" t="s">
        <v>146</v>
      </c>
      <c r="AA25" s="109" t="s">
        <v>125</v>
      </c>
      <c r="AE25" t="s">
        <v>129</v>
      </c>
      <c r="AH25" s="11"/>
      <c r="AO25" t="s">
        <v>170</v>
      </c>
      <c r="AQ25" t="s">
        <v>125</v>
      </c>
    </row>
    <row r="26" spans="1:43" ht="15.75" x14ac:dyDescent="0.2">
      <c r="C26" s="4" t="s">
        <v>239</v>
      </c>
      <c r="G26" s="107" t="s">
        <v>49</v>
      </c>
      <c r="J26" s="109" t="s">
        <v>159</v>
      </c>
      <c r="Q26" s="4" t="s">
        <v>153</v>
      </c>
      <c r="S26" s="4" t="s">
        <v>154</v>
      </c>
      <c r="U26" s="4" t="s">
        <v>155</v>
      </c>
      <c r="W26" s="4" t="s">
        <v>135</v>
      </c>
      <c r="AA26" s="110" t="s">
        <v>272</v>
      </c>
      <c r="AE26" s="5">
        <v>46220</v>
      </c>
      <c r="AH26" s="11"/>
      <c r="AO26" t="s">
        <v>117</v>
      </c>
    </row>
    <row r="27" spans="1:43" ht="15.75" x14ac:dyDescent="0.2">
      <c r="C27" t="s">
        <v>23</v>
      </c>
      <c r="J27" s="108" t="s">
        <v>151</v>
      </c>
      <c r="Q27" t="s">
        <v>160</v>
      </c>
      <c r="S27" t="s">
        <v>123</v>
      </c>
      <c r="U27" t="s">
        <v>110</v>
      </c>
      <c r="W27" t="s">
        <v>161</v>
      </c>
      <c r="AA27" s="109" t="s">
        <v>156</v>
      </c>
      <c r="AH27" s="11"/>
      <c r="AO27" t="s">
        <v>81</v>
      </c>
    </row>
    <row r="28" spans="1:43" ht="15.75" x14ac:dyDescent="0.2">
      <c r="C28" t="s">
        <v>24</v>
      </c>
      <c r="G28" s="27" t="s">
        <v>233</v>
      </c>
      <c r="Q28" t="s">
        <v>165</v>
      </c>
      <c r="S28" t="s">
        <v>139</v>
      </c>
      <c r="U28" t="s">
        <v>102</v>
      </c>
      <c r="W28" t="s">
        <v>166</v>
      </c>
      <c r="AA28" s="110" t="s">
        <v>162</v>
      </c>
      <c r="AC28" s="111" t="s">
        <v>34</v>
      </c>
      <c r="AE28" s="111" t="s">
        <v>53</v>
      </c>
      <c r="AH28" s="11"/>
      <c r="AO28" t="s">
        <v>84</v>
      </c>
    </row>
    <row r="29" spans="1:43" ht="15.75" x14ac:dyDescent="0.2">
      <c r="C29" t="s">
        <v>26</v>
      </c>
      <c r="G29" s="109" t="s">
        <v>28</v>
      </c>
      <c r="S29" t="s">
        <v>116</v>
      </c>
      <c r="AA29" s="109" t="s">
        <v>119</v>
      </c>
      <c r="AC29" s="109" t="s">
        <v>294</v>
      </c>
      <c r="AE29" s="109" t="s">
        <v>355</v>
      </c>
      <c r="AH29" s="11"/>
      <c r="AO29" t="s">
        <v>162</v>
      </c>
    </row>
    <row r="30" spans="1:43" ht="15.75" x14ac:dyDescent="0.2">
      <c r="C30" t="s">
        <v>25</v>
      </c>
      <c r="G30" s="110" t="s">
        <v>303</v>
      </c>
      <c r="S30" t="s">
        <v>173</v>
      </c>
      <c r="Y30" s="4" t="s">
        <v>174</v>
      </c>
      <c r="AA30" s="110" t="s">
        <v>271</v>
      </c>
      <c r="AB30" s="4"/>
      <c r="AC30" s="110" t="s">
        <v>290</v>
      </c>
      <c r="AE30" s="110" t="s">
        <v>295</v>
      </c>
      <c r="AH30" s="11"/>
      <c r="AO30" t="s">
        <v>91</v>
      </c>
    </row>
    <row r="31" spans="1:43" ht="15.75" x14ac:dyDescent="0.2">
      <c r="C31" t="s">
        <v>27</v>
      </c>
      <c r="G31" s="109" t="s">
        <v>372</v>
      </c>
      <c r="Y31" t="s">
        <v>177</v>
      </c>
      <c r="AA31" s="109" t="s">
        <v>147</v>
      </c>
      <c r="AC31" s="109" t="s">
        <v>299</v>
      </c>
      <c r="AE31" s="109" t="s">
        <v>283</v>
      </c>
      <c r="AH31" s="8"/>
      <c r="AO31" t="s">
        <v>52</v>
      </c>
    </row>
    <row r="32" spans="1:43" ht="15.75" x14ac:dyDescent="0.2">
      <c r="C32" t="s">
        <v>29</v>
      </c>
      <c r="G32" s="110" t="s">
        <v>376</v>
      </c>
      <c r="AA32" s="110" t="s">
        <v>128</v>
      </c>
      <c r="AC32" s="110" t="s">
        <v>293</v>
      </c>
      <c r="AE32" s="110" t="s">
        <v>287</v>
      </c>
      <c r="AH32" s="8"/>
      <c r="AO32" t="s">
        <v>174</v>
      </c>
    </row>
    <row r="33" spans="1:41" ht="15.75" x14ac:dyDescent="0.2">
      <c r="C33" t="s">
        <v>52</v>
      </c>
      <c r="G33" s="109" t="s">
        <v>373</v>
      </c>
      <c r="Q33" s="4" t="s">
        <v>124</v>
      </c>
      <c r="S33" s="4" t="s">
        <v>152</v>
      </c>
      <c r="U33" s="4" t="s">
        <v>180</v>
      </c>
      <c r="W33" t="s">
        <v>31</v>
      </c>
      <c r="AA33" s="109" t="s">
        <v>142</v>
      </c>
      <c r="AC33" s="109" t="s">
        <v>297</v>
      </c>
      <c r="AE33" s="109" t="s">
        <v>277</v>
      </c>
      <c r="AH33" s="8"/>
      <c r="AO33" t="s">
        <v>140</v>
      </c>
    </row>
    <row r="34" spans="1:41" ht="15.75" x14ac:dyDescent="0.2">
      <c r="C34" t="s">
        <v>30</v>
      </c>
      <c r="G34" s="110" t="s">
        <v>371</v>
      </c>
      <c r="Q34" t="s">
        <v>111</v>
      </c>
      <c r="S34" t="s">
        <v>63</v>
      </c>
      <c r="U34" t="s">
        <v>184</v>
      </c>
      <c r="W34" t="s">
        <v>185</v>
      </c>
      <c r="AA34" s="110" t="s">
        <v>167</v>
      </c>
      <c r="AC34" s="110" t="s">
        <v>292</v>
      </c>
      <c r="AE34" s="110" t="s">
        <v>284</v>
      </c>
      <c r="AH34" s="8"/>
      <c r="AO34" t="s">
        <v>180</v>
      </c>
    </row>
    <row r="35" spans="1:41" ht="15.75" x14ac:dyDescent="0.2">
      <c r="C35" t="s">
        <v>31</v>
      </c>
      <c r="G35" s="109" t="s">
        <v>374</v>
      </c>
      <c r="S35" t="s">
        <v>188</v>
      </c>
      <c r="U35" t="s">
        <v>31</v>
      </c>
      <c r="W35" t="s">
        <v>189</v>
      </c>
      <c r="AA35" s="109" t="s">
        <v>237</v>
      </c>
      <c r="AC35" s="109" t="s">
        <v>360</v>
      </c>
      <c r="AE35" s="109" t="s">
        <v>300</v>
      </c>
      <c r="AH35" s="8"/>
      <c r="AO35" t="s">
        <v>152</v>
      </c>
    </row>
    <row r="36" spans="1:41" ht="15.75" x14ac:dyDescent="0.2">
      <c r="G36" s="110" t="s">
        <v>375</v>
      </c>
      <c r="W36" t="s">
        <v>192</v>
      </c>
      <c r="AA36" s="110" t="s">
        <v>93</v>
      </c>
      <c r="AC36" s="110" t="s">
        <v>296</v>
      </c>
      <c r="AE36" s="110" t="s">
        <v>356</v>
      </c>
      <c r="AH36" s="8"/>
      <c r="AO36" t="s">
        <v>83</v>
      </c>
    </row>
    <row r="37" spans="1:41" ht="16.5" thickBot="1" x14ac:dyDescent="0.25">
      <c r="A37" s="21" t="s">
        <v>20</v>
      </c>
      <c r="C37" s="45" t="s">
        <v>312</v>
      </c>
      <c r="G37" s="109" t="s">
        <v>377</v>
      </c>
      <c r="W37" t="s">
        <v>195</v>
      </c>
      <c r="AA37" s="109" t="s">
        <v>314</v>
      </c>
      <c r="AC37" s="109" t="s">
        <v>291</v>
      </c>
      <c r="AE37" s="109" t="s">
        <v>285</v>
      </c>
      <c r="AH37" s="12"/>
      <c r="AO37" t="s">
        <v>135</v>
      </c>
    </row>
    <row r="38" spans="1:41" ht="16.5" thickTop="1" x14ac:dyDescent="0.2">
      <c r="A38" s="22" t="s">
        <v>246</v>
      </c>
      <c r="C38" s="25" t="s">
        <v>249</v>
      </c>
      <c r="E38" s="27" t="s">
        <v>251</v>
      </c>
      <c r="G38" s="110" t="s">
        <v>378</v>
      </c>
      <c r="W38" t="s">
        <v>198</v>
      </c>
      <c r="AA38" s="108" t="s">
        <v>113</v>
      </c>
      <c r="AC38" s="108" t="s">
        <v>298</v>
      </c>
      <c r="AE38" s="110" t="s">
        <v>357</v>
      </c>
      <c r="AH38" s="11"/>
      <c r="AO38" t="s">
        <v>302</v>
      </c>
    </row>
    <row r="39" spans="1:41" ht="15.75" x14ac:dyDescent="0.2">
      <c r="A39" s="22" t="s">
        <v>247</v>
      </c>
      <c r="C39" s="26" t="s">
        <v>250</v>
      </c>
      <c r="E39" s="27" t="s">
        <v>252</v>
      </c>
      <c r="G39" s="109" t="s">
        <v>380</v>
      </c>
      <c r="AE39" s="109" t="s">
        <v>280</v>
      </c>
      <c r="AH39" s="11"/>
      <c r="AO39" t="s">
        <v>164</v>
      </c>
    </row>
    <row r="40" spans="1:41" ht="16.5" thickBot="1" x14ac:dyDescent="0.25">
      <c r="A40" s="23" t="s">
        <v>6</v>
      </c>
      <c r="C40" s="39" t="s">
        <v>274</v>
      </c>
      <c r="E40" s="28" t="s">
        <v>253</v>
      </c>
      <c r="G40" s="110" t="s">
        <v>379</v>
      </c>
      <c r="AE40" s="110" t="s">
        <v>276</v>
      </c>
      <c r="AH40" s="11"/>
    </row>
    <row r="41" spans="1:41" ht="16.5" thickTop="1" x14ac:dyDescent="0.2">
      <c r="A41" s="24" t="s">
        <v>248</v>
      </c>
      <c r="C41" t="s">
        <v>256</v>
      </c>
      <c r="E41" s="28" t="s">
        <v>254</v>
      </c>
      <c r="G41" s="109" t="s">
        <v>381</v>
      </c>
      <c r="AE41" s="109" t="s">
        <v>359</v>
      </c>
      <c r="AH41" s="11"/>
    </row>
    <row r="42" spans="1:41" x14ac:dyDescent="0.2">
      <c r="A42" s="40" t="s">
        <v>257</v>
      </c>
      <c r="E42" s="29" t="s">
        <v>255</v>
      </c>
      <c r="G42" s="110" t="s">
        <v>174</v>
      </c>
      <c r="AE42" s="110" t="s">
        <v>354</v>
      </c>
      <c r="AH42" s="13"/>
    </row>
    <row r="43" spans="1:41" x14ac:dyDescent="0.2">
      <c r="A43" t="s">
        <v>258</v>
      </c>
      <c r="E43" s="29" t="s">
        <v>256</v>
      </c>
      <c r="G43" s="109" t="s">
        <v>180</v>
      </c>
      <c r="AC43" s="4" t="s">
        <v>112</v>
      </c>
      <c r="AE43" s="109" t="s">
        <v>353</v>
      </c>
      <c r="AH43" s="13"/>
    </row>
    <row r="44" spans="1:41" ht="15.75" x14ac:dyDescent="0.2">
      <c r="G44" s="108" t="s">
        <v>164</v>
      </c>
      <c r="AC44" t="s">
        <v>146</v>
      </c>
      <c r="AE44" s="110" t="s">
        <v>286</v>
      </c>
      <c r="AH44" s="8"/>
    </row>
    <row r="45" spans="1:41" ht="15.75" x14ac:dyDescent="0.2">
      <c r="AE45" s="109" t="s">
        <v>279</v>
      </c>
      <c r="AH45" s="8"/>
    </row>
    <row r="46" spans="1:41" ht="15.75" thickBot="1" x14ac:dyDescent="0.25">
      <c r="A46" t="s">
        <v>33</v>
      </c>
      <c r="C46" s="213" t="s">
        <v>36</v>
      </c>
      <c r="E46" s="3" t="s">
        <v>329</v>
      </c>
      <c r="G46" s="2" cm="1">
        <f t="array" aca="1" ref="G46:G65" ca="1">_xlfn.SEQUENCE(20,1,YEAR(TODAY())-10,1)</f>
        <v>2016</v>
      </c>
      <c r="AE46" s="110" t="s">
        <v>358</v>
      </c>
      <c r="AH46" s="13"/>
    </row>
    <row r="47" spans="1:41" ht="15.75" thickTop="1" x14ac:dyDescent="0.2">
      <c r="A47" t="s">
        <v>43</v>
      </c>
      <c r="C47" t="s">
        <v>46</v>
      </c>
      <c r="E47" t="s">
        <v>264</v>
      </c>
      <c r="G47">
        <f ca="1"/>
        <v>2017</v>
      </c>
      <c r="AE47" s="109" t="s">
        <v>281</v>
      </c>
      <c r="AH47" s="13"/>
    </row>
    <row r="48" spans="1:41" x14ac:dyDescent="0.2">
      <c r="A48" t="s">
        <v>55</v>
      </c>
      <c r="C48" t="s">
        <v>57</v>
      </c>
      <c r="E48" t="s">
        <v>265</v>
      </c>
      <c r="G48">
        <f ca="1"/>
        <v>2018</v>
      </c>
      <c r="AE48" s="110" t="s">
        <v>288</v>
      </c>
      <c r="AH48" s="13"/>
    </row>
    <row r="49" spans="1:31" x14ac:dyDescent="0.2">
      <c r="A49" t="s">
        <v>64</v>
      </c>
      <c r="C49" t="s">
        <v>66</v>
      </c>
      <c r="E49" t="s">
        <v>266</v>
      </c>
      <c r="G49">
        <f ca="1"/>
        <v>2019</v>
      </c>
      <c r="AE49" s="109" t="s">
        <v>282</v>
      </c>
    </row>
    <row r="50" spans="1:31" x14ac:dyDescent="0.2">
      <c r="A50" t="s">
        <v>69</v>
      </c>
      <c r="C50" t="s">
        <v>71</v>
      </c>
      <c r="E50" t="s">
        <v>267</v>
      </c>
      <c r="G50">
        <f ca="1"/>
        <v>2020</v>
      </c>
      <c r="AE50" s="110" t="s">
        <v>70</v>
      </c>
    </row>
    <row r="51" spans="1:31" x14ac:dyDescent="0.2">
      <c r="A51" t="s">
        <v>72</v>
      </c>
      <c r="C51" t="s">
        <v>73</v>
      </c>
      <c r="G51">
        <f ca="1"/>
        <v>2021</v>
      </c>
      <c r="AE51" s="109" t="s">
        <v>275</v>
      </c>
    </row>
    <row r="52" spans="1:31" x14ac:dyDescent="0.2">
      <c r="A52" t="s">
        <v>74</v>
      </c>
      <c r="C52" t="s">
        <v>75</v>
      </c>
      <c r="E52" s="3" t="s">
        <v>343</v>
      </c>
      <c r="G52">
        <f ca="1"/>
        <v>2022</v>
      </c>
      <c r="AE52" s="110" t="s">
        <v>278</v>
      </c>
    </row>
    <row r="53" spans="1:31" x14ac:dyDescent="0.2">
      <c r="A53" t="s">
        <v>76</v>
      </c>
      <c r="C53" t="s">
        <v>77</v>
      </c>
      <c r="E53" t="s">
        <v>346</v>
      </c>
      <c r="G53">
        <f ca="1"/>
        <v>2023</v>
      </c>
      <c r="AE53" s="107" t="s">
        <v>289</v>
      </c>
    </row>
    <row r="54" spans="1:31" x14ac:dyDescent="0.2">
      <c r="C54" t="s">
        <v>78</v>
      </c>
      <c r="E54" t="s">
        <v>345</v>
      </c>
      <c r="G54">
        <f ca="1"/>
        <v>2024</v>
      </c>
    </row>
    <row r="55" spans="1:31" x14ac:dyDescent="0.2">
      <c r="A55" t="s">
        <v>79</v>
      </c>
      <c r="C55" t="s">
        <v>80</v>
      </c>
      <c r="E55" t="s">
        <v>344</v>
      </c>
      <c r="G55">
        <f ca="1"/>
        <v>2025</v>
      </c>
    </row>
    <row r="56" spans="1:31" x14ac:dyDescent="0.2">
      <c r="A56" t="s">
        <v>88</v>
      </c>
      <c r="C56" t="s">
        <v>89</v>
      </c>
      <c r="G56">
        <f ca="1"/>
        <v>2026</v>
      </c>
    </row>
    <row r="57" spans="1:31" x14ac:dyDescent="0.2">
      <c r="A57" t="s">
        <v>100</v>
      </c>
      <c r="C57" t="s">
        <v>101</v>
      </c>
      <c r="G57">
        <f ca="1"/>
        <v>2027</v>
      </c>
    </row>
    <row r="58" spans="1:31" x14ac:dyDescent="0.2">
      <c r="A58" t="s">
        <v>108</v>
      </c>
      <c r="C58" t="s">
        <v>109</v>
      </c>
      <c r="E58" s="3" t="s">
        <v>405</v>
      </c>
      <c r="G58">
        <f ca="1"/>
        <v>2028</v>
      </c>
    </row>
    <row r="59" spans="1:31" x14ac:dyDescent="0.2">
      <c r="A59" t="s">
        <v>114</v>
      </c>
      <c r="C59" t="s">
        <v>115</v>
      </c>
      <c r="E59" t="s">
        <v>406</v>
      </c>
      <c r="G59">
        <f ca="1"/>
        <v>2029</v>
      </c>
    </row>
    <row r="60" spans="1:31" x14ac:dyDescent="0.2">
      <c r="C60" t="s">
        <v>122</v>
      </c>
      <c r="E60" t="s">
        <v>407</v>
      </c>
      <c r="G60">
        <f ca="1"/>
        <v>2030</v>
      </c>
    </row>
    <row r="61" spans="1:31" x14ac:dyDescent="0.2">
      <c r="A61" t="s">
        <v>131</v>
      </c>
      <c r="C61" t="s">
        <v>132</v>
      </c>
      <c r="E61" t="s">
        <v>408</v>
      </c>
      <c r="G61">
        <f ca="1"/>
        <v>2031</v>
      </c>
    </row>
    <row r="62" spans="1:31" x14ac:dyDescent="0.2">
      <c r="A62" t="s">
        <v>137</v>
      </c>
      <c r="C62" t="s">
        <v>138</v>
      </c>
      <c r="E62" t="s">
        <v>409</v>
      </c>
      <c r="G62">
        <f ca="1"/>
        <v>2032</v>
      </c>
    </row>
    <row r="63" spans="1:31" x14ac:dyDescent="0.2">
      <c r="A63" t="s">
        <v>143</v>
      </c>
      <c r="C63" t="s">
        <v>144</v>
      </c>
      <c r="E63" t="s">
        <v>410</v>
      </c>
      <c r="G63">
        <f ca="1"/>
        <v>2033</v>
      </c>
    </row>
    <row r="64" spans="1:31" x14ac:dyDescent="0.2">
      <c r="A64" t="s">
        <v>148</v>
      </c>
      <c r="C64" t="s">
        <v>149</v>
      </c>
      <c r="E64" t="s">
        <v>411</v>
      </c>
      <c r="G64">
        <f ca="1"/>
        <v>2034</v>
      </c>
    </row>
    <row r="65" spans="1:7" x14ac:dyDescent="0.2">
      <c r="A65" t="s">
        <v>157</v>
      </c>
      <c r="C65" t="s">
        <v>158</v>
      </c>
      <c r="E65" t="s">
        <v>412</v>
      </c>
      <c r="G65">
        <f ca="1"/>
        <v>2035</v>
      </c>
    </row>
    <row r="66" spans="1:7" x14ac:dyDescent="0.2">
      <c r="C66" t="s">
        <v>163</v>
      </c>
      <c r="E66" t="s">
        <v>413</v>
      </c>
    </row>
    <row r="67" spans="1:7" x14ac:dyDescent="0.2">
      <c r="A67" t="s">
        <v>168</v>
      </c>
      <c r="C67" t="s">
        <v>169</v>
      </c>
      <c r="E67" t="s">
        <v>414</v>
      </c>
    </row>
    <row r="68" spans="1:7" x14ac:dyDescent="0.2">
      <c r="A68" t="s">
        <v>171</v>
      </c>
      <c r="C68" t="s">
        <v>172</v>
      </c>
      <c r="E68" t="s">
        <v>415</v>
      </c>
    </row>
    <row r="69" spans="1:7" x14ac:dyDescent="0.2">
      <c r="A69" t="s">
        <v>175</v>
      </c>
      <c r="C69" t="s">
        <v>176</v>
      </c>
      <c r="E69" t="s">
        <v>416</v>
      </c>
    </row>
    <row r="70" spans="1:7" x14ac:dyDescent="0.2">
      <c r="A70" t="s">
        <v>178</v>
      </c>
      <c r="C70" t="s">
        <v>179</v>
      </c>
      <c r="E70" t="s">
        <v>417</v>
      </c>
    </row>
    <row r="71" spans="1:7" x14ac:dyDescent="0.2">
      <c r="C71" t="s">
        <v>181</v>
      </c>
      <c r="E71" t="s">
        <v>418</v>
      </c>
    </row>
    <row r="72" spans="1:7" x14ac:dyDescent="0.2">
      <c r="A72" t="s">
        <v>182</v>
      </c>
      <c r="C72" t="s">
        <v>183</v>
      </c>
    </row>
    <row r="73" spans="1:7" x14ac:dyDescent="0.2">
      <c r="A73" t="s">
        <v>186</v>
      </c>
      <c r="C73" t="s">
        <v>187</v>
      </c>
    </row>
    <row r="74" spans="1:7" x14ac:dyDescent="0.2">
      <c r="A74" t="s">
        <v>190</v>
      </c>
      <c r="C74" t="s">
        <v>191</v>
      </c>
    </row>
    <row r="75" spans="1:7" x14ac:dyDescent="0.2">
      <c r="A75" t="s">
        <v>193</v>
      </c>
      <c r="C75" t="s">
        <v>194</v>
      </c>
    </row>
    <row r="76" spans="1:7" x14ac:dyDescent="0.2">
      <c r="A76" t="s">
        <v>196</v>
      </c>
      <c r="C76" t="s">
        <v>197</v>
      </c>
    </row>
    <row r="77" spans="1:7" x14ac:dyDescent="0.2">
      <c r="A77" t="s">
        <v>199</v>
      </c>
      <c r="C77" t="s">
        <v>200</v>
      </c>
    </row>
    <row r="78" spans="1:7" x14ac:dyDescent="0.2">
      <c r="A78" t="s">
        <v>201</v>
      </c>
      <c r="C78" t="s">
        <v>202</v>
      </c>
    </row>
    <row r="79" spans="1:7" x14ac:dyDescent="0.2">
      <c r="A79" t="s">
        <v>203</v>
      </c>
      <c r="C79" t="s">
        <v>204</v>
      </c>
    </row>
    <row r="80" spans="1:7" x14ac:dyDescent="0.2">
      <c r="C80" t="s">
        <v>205</v>
      </c>
    </row>
    <row r="81" spans="1:3" x14ac:dyDescent="0.2">
      <c r="A81" t="s">
        <v>206</v>
      </c>
      <c r="C81" t="s">
        <v>207</v>
      </c>
    </row>
    <row r="82" spans="1:3" x14ac:dyDescent="0.2">
      <c r="A82" t="s">
        <v>208</v>
      </c>
      <c r="C82" t="s">
        <v>209</v>
      </c>
    </row>
    <row r="83" spans="1:3" x14ac:dyDescent="0.2">
      <c r="A83" t="s">
        <v>210</v>
      </c>
      <c r="C83" t="s">
        <v>211</v>
      </c>
    </row>
    <row r="84" spans="1:3" x14ac:dyDescent="0.2">
      <c r="A84" t="s">
        <v>212</v>
      </c>
      <c r="C84" t="s">
        <v>213</v>
      </c>
    </row>
    <row r="85" spans="1:3" x14ac:dyDescent="0.2">
      <c r="A85" t="s">
        <v>214</v>
      </c>
      <c r="C85" t="s">
        <v>215</v>
      </c>
    </row>
    <row r="86" spans="1:3" x14ac:dyDescent="0.2">
      <c r="C86" t="s">
        <v>216</v>
      </c>
    </row>
    <row r="87" spans="1:3" x14ac:dyDescent="0.2">
      <c r="C87" t="s">
        <v>217</v>
      </c>
    </row>
    <row r="88" spans="1:3" x14ac:dyDescent="0.2">
      <c r="C88" t="s">
        <v>218</v>
      </c>
    </row>
    <row r="89" spans="1:3" x14ac:dyDescent="0.2">
      <c r="A89" t="str">
        <f>_xlfn.UNICHAR(9993)</f>
        <v>✉</v>
      </c>
      <c r="C89" t="s">
        <v>219</v>
      </c>
    </row>
    <row r="90" spans="1:3" x14ac:dyDescent="0.2">
      <c r="A90" t="str">
        <f>_xlfn.UNICHAR(9742)</f>
        <v>☎</v>
      </c>
      <c r="C90" t="s">
        <v>220</v>
      </c>
    </row>
    <row r="91" spans="1:3" x14ac:dyDescent="0.2">
      <c r="A91" t="str">
        <f>_xlfn.UNICHAR(128424)</f>
        <v>🖨</v>
      </c>
      <c r="C91" t="s">
        <v>221</v>
      </c>
    </row>
    <row r="92" spans="1:3" x14ac:dyDescent="0.2">
      <c r="A92" t="str">
        <f>_xlfn.UNICHAR(128101)</f>
        <v>👥</v>
      </c>
      <c r="C92" t="s">
        <v>222</v>
      </c>
    </row>
    <row r="93" spans="1:3" x14ac:dyDescent="0.2">
      <c r="A93" t="str">
        <f>_xlfn.UNICHAR(128222)</f>
        <v>📞</v>
      </c>
      <c r="C93" t="s">
        <v>223</v>
      </c>
    </row>
    <row r="94" spans="1:3" x14ac:dyDescent="0.2">
      <c r="A94" t="str">
        <f>_xlfn.UNICHAR(127968)</f>
        <v>🏠</v>
      </c>
    </row>
    <row r="95" spans="1:3" x14ac:dyDescent="0.2">
      <c r="A95" t="str">
        <f>_xlfn.UNICHAR(128197)</f>
        <v>📅</v>
      </c>
    </row>
    <row r="96" spans="1:3" x14ac:dyDescent="0.2">
      <c r="A96" t="str">
        <f>_xlfn.UNICHAR(128209)</f>
        <v>📑</v>
      </c>
    </row>
    <row r="97" spans="1:1" x14ac:dyDescent="0.2">
      <c r="A97" t="str">
        <f>_xlfn.UNICHAR(128459)</f>
        <v>🗋</v>
      </c>
    </row>
    <row r="98" spans="1:1" x14ac:dyDescent="0.2">
      <c r="A98" t="str">
        <f>_xlfn.UNICHAR(128269)</f>
        <v>🔍</v>
      </c>
    </row>
    <row r="99" spans="1:1" x14ac:dyDescent="0.2">
      <c r="A99" t="str">
        <f>_xlfn.UNICHAR(128100)</f>
        <v>👤</v>
      </c>
    </row>
  </sheetData>
  <hyperlinks>
    <hyperlink ref="B4" location="'WELCOME PAGE'!A1" display="🏠                    🏠      Home / Dashboard" xr:uid="{AED065DC-34FA-432F-BACE-562897C845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11</vt:i4>
      </vt:variant>
      <vt:variant>
        <vt:lpstr>Named Ranges</vt:lpstr>
      </vt:variant>
      <vt:variant>
        <vt:i4>49</vt:i4>
      </vt:variant>
    </vt:vector>
  </HeadingPairs>
  <TitlesOfParts>
    <vt:vector size="60" baseType="lpstr">
      <vt:lpstr>HOME PAGE</vt:lpstr>
      <vt:lpstr>COUNSEL DIRECTORY</vt:lpstr>
      <vt:lpstr>QUARTER REPORT</vt:lpstr>
      <vt:lpstr>Sheet2</vt:lpstr>
      <vt:lpstr>AUTO CAUSE LIST</vt:lpstr>
      <vt:lpstr>INSIGHTS</vt:lpstr>
      <vt:lpstr>BACK OFFICE</vt:lpstr>
      <vt:lpstr>Sheet1</vt:lpstr>
      <vt:lpstr>CASE REGISTER</vt:lpstr>
      <vt:lpstr>HEARING LOG</vt:lpstr>
      <vt:lpstr>LISTS</vt:lpstr>
      <vt:lpstr>ACTIONS</vt:lpstr>
      <vt:lpstr>ACTIVE</vt:lpstr>
      <vt:lpstr>APPEAL</vt:lpstr>
      <vt:lpstr>ARBITRATION</vt:lpstr>
      <vt:lpstr>BAIL</vt:lpstr>
      <vt:lpstr>CASE_TYPE</vt:lpstr>
      <vt:lpstr>CASETYPE</vt:lpstr>
      <vt:lpstr>CLAIMS</vt:lpstr>
      <vt:lpstr>CONCLUDED</vt:lpstr>
      <vt:lpstr>CONTRACT</vt:lpstr>
      <vt:lpstr>COURT</vt:lpstr>
      <vt:lpstr>CRIMINAL</vt:lpstr>
      <vt:lpstr>CRIMINAL_MATTER</vt:lpstr>
      <vt:lpstr>CURRENT_CASE_AGE</vt:lpstr>
      <vt:lpstr>DIVISIONS</vt:lpstr>
      <vt:lpstr>FELONY</vt:lpstr>
      <vt:lpstr>FHR</vt:lpstr>
      <vt:lpstr>INSIGHTS</vt:lpstr>
      <vt:lpstr>INTERPRETATION</vt:lpstr>
      <vt:lpstr>JUDGES2</vt:lpstr>
      <vt:lpstr>JUDGMENTS</vt:lpstr>
      <vt:lpstr>LAND</vt:lpstr>
      <vt:lpstr>LEAVE</vt:lpstr>
      <vt:lpstr>MAGISTRATE_COURT</vt:lpstr>
      <vt:lpstr>MATRIMONIAL</vt:lpstr>
      <vt:lpstr>MISDEMEANOR</vt:lpstr>
      <vt:lpstr>MOTION</vt:lpstr>
      <vt:lpstr>NATURE</vt:lpstr>
      <vt:lpstr>NATURE_OF_CASE</vt:lpstr>
      <vt:lpstr>ORIGINATING_SUMMONS</vt:lpstr>
      <vt:lpstr>OTHERS</vt:lpstr>
      <vt:lpstr>OUTCOME</vt:lpstr>
      <vt:lpstr>PETITION</vt:lpstr>
      <vt:lpstr>PORT_HARCOURT</vt:lpstr>
      <vt:lpstr>POSSESSION</vt:lpstr>
      <vt:lpstr>AUTO CAUSE LIST!Print_Area</vt:lpstr>
      <vt:lpstr>INSIGHTS!Print_Area</vt:lpstr>
      <vt:lpstr>QUARTER REPORT!Print_Area</vt:lpstr>
      <vt:lpstr>INSIGHTS!Print_Titles</vt:lpstr>
      <vt:lpstr>PURPOSE</vt:lpstr>
      <vt:lpstr>QUARTER</vt:lpstr>
      <vt:lpstr>QUARTERLIES</vt:lpstr>
      <vt:lpstr>REASON</vt:lpstr>
      <vt:lpstr>RULING</vt:lpstr>
      <vt:lpstr>STATUS</vt:lpstr>
      <vt:lpstr>TORT</vt:lpstr>
      <vt:lpstr>UNDEFENDED_LIST</vt:lpstr>
      <vt:lpstr>WRIT</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udo-ekong</dc:creator>
  <cp:lastModifiedBy>udo-ekong umo-udofia</cp:lastModifiedBy>
  <cp:lastPrinted>2026-07-31T14:50:26Z</cp:lastPrinted>
  <dcterms:created xsi:type="dcterms:W3CDTF">2021-09-18T19:53:51Z</dcterms:created>
  <dcterms:modified xsi:type="dcterms:W3CDTF">2026-08-01T13:59:00Z</dcterms:modified>
</cp:coreProperties>
</file>