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brodie\sfuvault2\Running metric-models - Brodie\IR Review\"/>
    </mc:Choice>
  </mc:AlternateContent>
  <bookViews>
    <workbookView xWindow="0" yWindow="0" windowWidth="12765" windowHeight="6630" activeTab="1"/>
  </bookViews>
  <sheets>
    <sheet name="References" sheetId="2" r:id="rId1"/>
    <sheet name="Parameters" sheetId="1" r:id="rId2"/>
    <sheet name="Summary" sheetId="6" state="hidden" r:id="rId3"/>
    <sheet name="Activities" sheetId="7" state="hidden" r:id="rId4"/>
    <sheet name="Millet2005" sheetId="4" state="hidden" r:id="rId5"/>
    <sheet name="Busso2002" sheetId="5" state="hidden" r:id="rId6"/>
    <sheet name="Busso1994" sheetId="8" state="hidden" r:id="rId7"/>
    <sheet name="Busso1997" sheetId="9" state="hidden" r:id="rId8"/>
  </sheets>
  <externalReferences>
    <externalReference r:id="rId9"/>
  </externalReferences>
  <definedNames>
    <definedName name="_xlnm._FilterDatabase" localSheetId="0" hidden="1">References!$G$1:$G$39</definedName>
    <definedName name="_xlnm.Extract" localSheetId="0">Summary!#REF!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3" i="1" l="1" a="1"/>
  <c r="H103" i="1" s="1"/>
  <c r="H104" i="1" a="1"/>
  <c r="H104" i="1" s="1"/>
  <c r="S106" i="1" a="1"/>
  <c r="S106" i="1" s="1"/>
  <c r="P106" i="1" a="1"/>
  <c r="P106" i="1" s="1"/>
  <c r="L106" i="1" a="1"/>
  <c r="L106" i="1" s="1"/>
  <c r="K106" i="1" a="1"/>
  <c r="K106" i="1" s="1"/>
  <c r="J106" i="1" a="1"/>
  <c r="J106" i="1" s="1"/>
  <c r="I106" i="1" a="1"/>
  <c r="I106" i="1" s="1"/>
  <c r="H106" i="1" a="1"/>
  <c r="H106" i="1" s="1"/>
  <c r="S105" i="1" a="1"/>
  <c r="S105" i="1" s="1"/>
  <c r="P105" i="1" a="1"/>
  <c r="P105" i="1" s="1"/>
  <c r="L105" i="1" a="1"/>
  <c r="L105" i="1" s="1"/>
  <c r="K105" i="1" a="1"/>
  <c r="K105" i="1" s="1"/>
  <c r="J105" i="1" a="1"/>
  <c r="J105" i="1" s="1"/>
  <c r="I105" i="1" a="1"/>
  <c r="I105" i="1" s="1"/>
  <c r="H105" i="1" a="1"/>
  <c r="H105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D10" i="1"/>
  <c r="D9" i="1"/>
  <c r="D8" i="1"/>
  <c r="D7" i="1"/>
  <c r="D6" i="1"/>
  <c r="D5" i="1"/>
  <c r="D4" i="1"/>
  <c r="D3" i="1"/>
  <c r="K8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K16" i="5"/>
  <c r="H16" i="5" a="1"/>
  <c r="H16" i="5"/>
  <c r="H17" i="5" a="1"/>
  <c r="H17" i="5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6" i="1"/>
  <c r="K67" i="1"/>
  <c r="K69" i="1"/>
  <c r="K72" i="1"/>
  <c r="K73" i="1"/>
  <c r="K74" i="1"/>
  <c r="K75" i="1"/>
  <c r="K76" i="1"/>
  <c r="K77" i="1"/>
  <c r="K78" i="1"/>
  <c r="K79" i="1"/>
  <c r="K80" i="1"/>
  <c r="K81" i="1"/>
  <c r="K82" i="1"/>
  <c r="K83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H4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G101" i="1"/>
  <c r="F101" i="1"/>
  <c r="G100" i="1"/>
  <c r="F100" i="1"/>
  <c r="D101" i="1"/>
  <c r="I1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D100" i="1"/>
  <c r="D99" i="1"/>
  <c r="S107" i="1" l="1"/>
  <c r="D66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9" i="1"/>
  <c r="D61" i="1"/>
  <c r="D63" i="1"/>
  <c r="D69" i="1"/>
  <c r="D72" i="1"/>
  <c r="D73" i="1"/>
  <c r="D74" i="1"/>
  <c r="D75" i="1"/>
  <c r="D76" i="1"/>
  <c r="D77" i="1"/>
  <c r="D78" i="1"/>
  <c r="D79" i="1"/>
  <c r="D80" i="1"/>
  <c r="D82" i="1"/>
  <c r="D84" i="1"/>
  <c r="D85" i="1"/>
  <c r="D87" i="1"/>
  <c r="D88" i="1"/>
  <c r="D89" i="1"/>
  <c r="D90" i="1"/>
  <c r="D91" i="1"/>
  <c r="D92" i="1"/>
  <c r="D93" i="1"/>
  <c r="D94" i="1"/>
  <c r="D95" i="1"/>
  <c r="D96" i="1"/>
  <c r="D97" i="1"/>
  <c r="D98" i="1"/>
  <c r="P107" i="1" l="1"/>
  <c r="K107" i="1"/>
  <c r="J107" i="1"/>
  <c r="L107" i="1"/>
  <c r="I107" i="1"/>
  <c r="H107" i="1"/>
  <c r="J33" i="2"/>
  <c r="I33" i="2"/>
  <c r="AN79" i="1"/>
  <c r="N33" i="2"/>
  <c r="O33" i="2"/>
  <c r="AN54" i="1" l="1"/>
  <c r="AN53" i="1"/>
  <c r="AN52" i="1"/>
  <c r="AN51" i="1"/>
  <c r="AN50" i="1"/>
  <c r="AN49" i="1"/>
  <c r="J17" i="2"/>
  <c r="I17" i="2"/>
  <c r="AN46" i="1"/>
  <c r="J24" i="2" l="1"/>
  <c r="I24" i="2"/>
  <c r="J16" i="2"/>
  <c r="I16" i="2"/>
  <c r="AL44" i="1"/>
  <c r="AL43" i="1"/>
  <c r="AL42" i="1"/>
  <c r="AL41" i="1"/>
  <c r="AL40" i="1"/>
  <c r="AL39" i="1"/>
  <c r="AL38" i="1"/>
  <c r="AL37" i="1"/>
  <c r="AL45" i="1"/>
  <c r="AN45" i="1"/>
  <c r="AN44" i="1"/>
  <c r="AN43" i="1"/>
  <c r="AN42" i="1"/>
  <c r="AN41" i="1"/>
  <c r="AN40" i="1"/>
  <c r="AN39" i="1"/>
  <c r="AN38" i="1"/>
  <c r="AN37" i="1"/>
  <c r="J15" i="2"/>
  <c r="I15" i="2"/>
  <c r="J13" i="2"/>
  <c r="I13" i="2"/>
  <c r="AN83" i="1"/>
  <c r="AN82" i="1"/>
  <c r="J36" i="2"/>
  <c r="I36" i="2"/>
  <c r="J7" i="2"/>
  <c r="I7" i="2"/>
  <c r="AN19" i="1"/>
  <c r="J28" i="2"/>
  <c r="I28" i="2"/>
  <c r="J34" i="2"/>
  <c r="I34" i="2"/>
  <c r="I29" i="2"/>
  <c r="J29" i="2" s="1"/>
  <c r="I10" i="2"/>
  <c r="I9" i="2"/>
  <c r="B21" i="7" l="1"/>
  <c r="B22" i="7"/>
  <c r="B20" i="7"/>
  <c r="B19" i="7"/>
  <c r="B3" i="7"/>
  <c r="B2" i="7"/>
  <c r="B9" i="7"/>
  <c r="B13" i="7"/>
  <c r="B5" i="7"/>
  <c r="B10" i="7"/>
  <c r="B7" i="7"/>
  <c r="B4" i="7"/>
  <c r="B6" i="7"/>
  <c r="B11" i="7"/>
  <c r="B14" i="7"/>
  <c r="B8" i="7"/>
  <c r="B12" i="7"/>
  <c r="D18" i="9" l="1"/>
  <c r="D17" i="9"/>
  <c r="C20" i="9"/>
  <c r="D20" i="9" s="1"/>
  <c r="C19" i="9"/>
  <c r="D19" i="9" s="1"/>
  <c r="C18" i="9"/>
  <c r="C17" i="9"/>
  <c r="B20" i="9"/>
  <c r="B19" i="9"/>
  <c r="B18" i="9"/>
  <c r="B17" i="9"/>
  <c r="C42" i="9"/>
  <c r="D42" i="9" s="1"/>
  <c r="C41" i="9"/>
  <c r="D41" i="9" s="1"/>
  <c r="C40" i="9"/>
  <c r="D40" i="9" s="1"/>
  <c r="C39" i="9"/>
  <c r="D39" i="9" s="1"/>
  <c r="B42" i="9"/>
  <c r="B41" i="9"/>
  <c r="B40" i="9"/>
  <c r="B39" i="9"/>
  <c r="AK10" i="1"/>
  <c r="AK9" i="1"/>
  <c r="AK8" i="1"/>
  <c r="AK7" i="1"/>
  <c r="AK6" i="1"/>
  <c r="AK5" i="1"/>
  <c r="AK4" i="1"/>
  <c r="AK3" i="1"/>
  <c r="C64" i="8"/>
  <c r="C22" i="8"/>
  <c r="B23" i="8"/>
  <c r="B22" i="8"/>
  <c r="B65" i="8"/>
  <c r="B64" i="8"/>
  <c r="O2" i="2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4" i="2"/>
  <c r="O35" i="2"/>
  <c r="O36" i="2"/>
  <c r="O37" i="2"/>
  <c r="C14" i="6" a="1"/>
  <c r="C11" i="6" a="1"/>
  <c r="C8" i="6" a="1"/>
  <c r="C7" i="6" a="1"/>
  <c r="C13" i="6" a="1"/>
  <c r="C2" i="6" a="1"/>
  <c r="B2" i="6" a="1"/>
  <c r="C6" i="6" a="1"/>
  <c r="C10" i="6" a="1"/>
  <c r="C12" i="6" a="1"/>
  <c r="C4" i="6" a="1"/>
  <c r="C9" i="6" a="1"/>
  <c r="B2" i="6" l="1"/>
  <c r="C14" i="6"/>
  <c r="C12" i="6"/>
  <c r="C8" i="6"/>
  <c r="C2" i="6"/>
  <c r="C13" i="6"/>
  <c r="C11" i="6"/>
  <c r="C7" i="6"/>
  <c r="C9" i="6"/>
  <c r="C4" i="6"/>
  <c r="C10" i="6"/>
  <c r="C6" i="6"/>
  <c r="N13" i="2"/>
  <c r="N32" i="2"/>
  <c r="N28" i="2"/>
  <c r="N16" i="2"/>
  <c r="N25" i="2"/>
  <c r="N19" i="2"/>
  <c r="N36" i="2"/>
  <c r="N35" i="2"/>
  <c r="N10" i="2"/>
  <c r="N34" i="2"/>
  <c r="M75" i="1"/>
  <c r="H25" i="5"/>
  <c r="G25" i="5"/>
  <c r="F25" i="5"/>
  <c r="H24" i="5"/>
  <c r="G24" i="5"/>
  <c r="F24" i="5"/>
  <c r="H23" i="5"/>
  <c r="G23" i="5"/>
  <c r="F23" i="5"/>
  <c r="H22" i="5"/>
  <c r="G22" i="5"/>
  <c r="F22" i="5"/>
  <c r="H21" i="5"/>
  <c r="G21" i="5"/>
  <c r="F21" i="5"/>
  <c r="F20" i="5"/>
  <c r="D20" i="5"/>
  <c r="H20" i="5" s="1"/>
  <c r="C20" i="5"/>
  <c r="G20" i="5" s="1"/>
  <c r="B20" i="5"/>
  <c r="D3" i="5"/>
  <c r="D4" i="5"/>
  <c r="D5" i="5"/>
  <c r="D6" i="5"/>
  <c r="D7" i="5"/>
  <c r="D8" i="5"/>
  <c r="D9" i="5"/>
  <c r="D10" i="5"/>
  <c r="D11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M15" i="5"/>
  <c r="M3" i="5"/>
  <c r="M4" i="5"/>
  <c r="M5" i="5"/>
  <c r="M6" i="5"/>
  <c r="M7" i="5"/>
  <c r="M8" i="5"/>
  <c r="M9" i="5"/>
  <c r="M10" i="5"/>
  <c r="M11" i="5"/>
  <c r="M12" i="5"/>
  <c r="M13" i="5"/>
  <c r="M14" i="5"/>
  <c r="M2" i="5"/>
  <c r="J2" i="5"/>
  <c r="G2" i="5"/>
  <c r="D2" i="5"/>
  <c r="N9" i="2"/>
  <c r="N2" i="2"/>
  <c r="N17" i="2"/>
  <c r="N7" i="2"/>
  <c r="N15" i="2"/>
  <c r="N11" i="2"/>
  <c r="N31" i="2"/>
  <c r="N20" i="2"/>
  <c r="N27" i="2"/>
  <c r="N21" i="2"/>
  <c r="N3" i="2"/>
  <c r="N12" i="2"/>
  <c r="N30" i="2"/>
  <c r="N14" i="2"/>
  <c r="N22" i="2"/>
  <c r="N23" i="2"/>
  <c r="D8" i="7" l="1"/>
  <c r="E8" i="7"/>
  <c r="C8" i="7"/>
  <c r="D13" i="7"/>
  <c r="E13" i="7"/>
  <c r="C13" i="7"/>
  <c r="D14" i="7"/>
  <c r="E14" i="7"/>
  <c r="C14" i="7"/>
  <c r="E7" i="7"/>
  <c r="D7" i="7"/>
  <c r="C7" i="7"/>
  <c r="E10" i="7"/>
  <c r="D10" i="7"/>
  <c r="C10" i="7"/>
  <c r="E11" i="7"/>
  <c r="D11" i="7"/>
  <c r="C11" i="7"/>
  <c r="E2" i="7"/>
  <c r="D2" i="7"/>
  <c r="C2" i="7"/>
  <c r="E12" i="7"/>
  <c r="D12" i="7"/>
  <c r="C12" i="7"/>
  <c r="D2" i="6"/>
  <c r="N26" i="2"/>
  <c r="N18" i="2"/>
  <c r="E6" i="7" s="1"/>
  <c r="M21" i="1"/>
  <c r="M20" i="1"/>
  <c r="N8" i="2"/>
  <c r="N37" i="2"/>
  <c r="N6" i="2"/>
  <c r="N5" i="2"/>
  <c r="N4" i="2"/>
  <c r="N29" i="2"/>
  <c r="N24" i="2"/>
  <c r="E4" i="7" s="1"/>
  <c r="C5" i="6" a="1"/>
  <c r="B3" i="6" a="1"/>
  <c r="C5" i="6" l="1"/>
  <c r="E3" i="7"/>
  <c r="C4" i="7"/>
  <c r="D4" i="7"/>
  <c r="C6" i="7"/>
  <c r="D6" i="7"/>
  <c r="E9" i="7"/>
  <c r="D9" i="7"/>
  <c r="C9" i="7"/>
  <c r="C3" i="7"/>
  <c r="D3" i="7"/>
  <c r="E5" i="7"/>
  <c r="D5" i="7"/>
  <c r="C5" i="7"/>
  <c r="B3" i="6"/>
  <c r="B14" i="6" a="1"/>
  <c r="B5" i="6" a="1"/>
  <c r="B7" i="6" a="1"/>
  <c r="C3" i="6" a="1"/>
  <c r="B9" i="6" a="1"/>
  <c r="B13" i="6" a="1"/>
  <c r="B11" i="6" a="1"/>
  <c r="B8" i="6" a="1"/>
  <c r="B4" i="6" a="1"/>
  <c r="B10" i="6" a="1"/>
  <c r="B12" i="6" a="1"/>
  <c r="B6" i="6" a="1"/>
  <c r="B14" i="6" l="1"/>
  <c r="D14" i="6" s="1"/>
  <c r="B9" i="6"/>
  <c r="D9" i="6" s="1"/>
  <c r="B5" i="6"/>
  <c r="D5" i="6" s="1"/>
  <c r="B13" i="6"/>
  <c r="D13" i="6" s="1"/>
  <c r="B12" i="6"/>
  <c r="D12" i="6" s="1"/>
  <c r="B4" i="6"/>
  <c r="D4" i="6" s="1"/>
  <c r="B6" i="6"/>
  <c r="D6" i="6" s="1"/>
  <c r="B8" i="6"/>
  <c r="D8" i="6" s="1"/>
  <c r="B10" i="6"/>
  <c r="D10" i="6" s="1"/>
  <c r="C3" i="6"/>
  <c r="D3" i="6" s="1"/>
  <c r="B7" i="6"/>
  <c r="D7" i="6" s="1"/>
  <c r="B11" i="6"/>
  <c r="D11" i="6" s="1"/>
</calcChain>
</file>

<file path=xl/comments1.xml><?xml version="1.0" encoding="utf-8"?>
<comments xmlns="http://schemas.openxmlformats.org/spreadsheetml/2006/main">
  <authors>
    <author>Ryan Brodie</author>
  </authors>
  <commentList>
    <comment ref="AK3" authorId="0" shapeId="0">
      <text>
        <r>
          <rPr>
            <b/>
            <sz val="9"/>
            <color indexed="81"/>
            <rFont val="Tahoma"/>
            <family val="2"/>
          </rPr>
          <t>Ryan Brodie:</t>
        </r>
        <r>
          <rPr>
            <sz val="9"/>
            <color indexed="81"/>
            <rFont val="Tahoma"/>
            <family val="2"/>
          </rPr>
          <t xml:space="preserve">
Calculated as 1hour test result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Ryan Brodie:</t>
        </r>
        <r>
          <rPr>
            <sz val="9"/>
            <color indexed="81"/>
            <rFont val="Tahoma"/>
            <family val="2"/>
          </rPr>
          <t xml:space="preserve">
Weekly values / 7 - scaled from "If a daily training of 20 units and…"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Ryan Brodie:</t>
        </r>
        <r>
          <rPr>
            <sz val="9"/>
            <color indexed="81"/>
            <rFont val="Tahoma"/>
            <family val="2"/>
          </rPr>
          <t xml:space="preserve">
Order of magnitude only. See excerpt from Busso2002 Tab</t>
        </r>
      </text>
    </comment>
    <comment ref="AL28" authorId="0" shapeId="0">
      <text>
        <r>
          <rPr>
            <b/>
            <sz val="9"/>
            <color indexed="81"/>
            <rFont val="Tahoma"/>
            <family val="2"/>
          </rPr>
          <t>Ryan Brodie:</t>
        </r>
        <r>
          <rPr>
            <sz val="9"/>
            <color indexed="81"/>
            <rFont val="Tahoma"/>
            <family val="2"/>
          </rPr>
          <t xml:space="preserve">
Order of magnitude
</t>
        </r>
      </text>
    </comment>
    <comment ref="AK30" authorId="0" shapeId="0">
      <text>
        <r>
          <rPr>
            <b/>
            <sz val="9"/>
            <color indexed="81"/>
            <rFont val="Tahoma"/>
            <family val="2"/>
          </rPr>
          <t>Ryan Brodie:</t>
        </r>
        <r>
          <rPr>
            <sz val="9"/>
            <color indexed="81"/>
            <rFont val="Tahoma"/>
            <family val="2"/>
          </rPr>
          <t xml:space="preserve">
Fractional, order of magnitude only
</t>
        </r>
      </text>
    </comment>
    <comment ref="K65" authorId="0" shapeId="0">
      <text>
        <r>
          <rPr>
            <b/>
            <sz val="9"/>
            <color indexed="81"/>
            <rFont val="Tahoma"/>
            <family val="2"/>
          </rPr>
          <t>Ryan Brodie:</t>
        </r>
        <r>
          <rPr>
            <sz val="9"/>
            <color indexed="81"/>
            <rFont val="Tahoma"/>
            <family val="2"/>
          </rPr>
          <t xml:space="preserve">
Manual entry
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Ryan Brodie:</t>
        </r>
        <r>
          <rPr>
            <sz val="9"/>
            <color indexed="81"/>
            <rFont val="Tahoma"/>
            <family val="2"/>
          </rPr>
          <t xml:space="preserve">
Manual entry</t>
        </r>
      </text>
    </comment>
    <comment ref="K70" authorId="0" shapeId="0">
      <text>
        <r>
          <rPr>
            <b/>
            <sz val="9"/>
            <color indexed="81"/>
            <rFont val="Tahoma"/>
            <family val="2"/>
          </rPr>
          <t>Ryan Brodie:</t>
        </r>
        <r>
          <rPr>
            <sz val="9"/>
            <color indexed="81"/>
            <rFont val="Tahoma"/>
            <family val="2"/>
          </rPr>
          <t xml:space="preserve">
Manual entry</t>
        </r>
      </text>
    </comment>
    <comment ref="Y75" authorId="0" shapeId="0">
      <text>
        <r>
          <rPr>
            <b/>
            <sz val="9"/>
            <color indexed="81"/>
            <rFont val="Tahoma"/>
            <family val="2"/>
          </rPr>
          <t>Ryan Brodie:</t>
        </r>
        <r>
          <rPr>
            <sz val="9"/>
            <color indexed="81"/>
            <rFont val="Tahoma"/>
            <family val="2"/>
          </rPr>
          <t xml:space="preserve">
Ended up &lt;k1</t>
        </r>
      </text>
    </comment>
    <comment ref="H84" authorId="0" shapeId="0">
      <text>
        <r>
          <rPr>
            <b/>
            <sz val="9"/>
            <color indexed="81"/>
            <rFont val="Tahoma"/>
            <family val="2"/>
          </rPr>
          <t>Ryan Brodie:</t>
        </r>
        <r>
          <rPr>
            <sz val="9"/>
            <color indexed="81"/>
            <rFont val="Tahoma"/>
            <family val="2"/>
          </rPr>
          <t xml:space="preserve">
Manually Entered
</t>
        </r>
      </text>
    </comment>
    <comment ref="J84" authorId="0" shapeId="0">
      <text>
        <r>
          <rPr>
            <b/>
            <sz val="9"/>
            <color indexed="81"/>
            <rFont val="Tahoma"/>
            <family val="2"/>
          </rPr>
          <t>Ryan Brodie:</t>
        </r>
        <r>
          <rPr>
            <sz val="9"/>
            <color indexed="81"/>
            <rFont val="Tahoma"/>
            <family val="2"/>
          </rPr>
          <t xml:space="preserve">
Manually Entered</t>
        </r>
      </text>
    </comment>
    <comment ref="V89" authorId="0" shapeId="0">
      <text>
        <r>
          <rPr>
            <b/>
            <sz val="9"/>
            <color indexed="81"/>
            <rFont val="Tahoma"/>
            <family val="2"/>
          </rPr>
          <t>Ryan Brodie:</t>
        </r>
        <r>
          <rPr>
            <sz val="9"/>
            <color indexed="81"/>
            <rFont val="Tahoma"/>
            <family val="2"/>
          </rPr>
          <t xml:space="preserve">
Constrained</t>
        </r>
      </text>
    </comment>
  </commentList>
</comments>
</file>

<file path=xl/sharedStrings.xml><?xml version="1.0" encoding="utf-8"?>
<sst xmlns="http://schemas.openxmlformats.org/spreadsheetml/2006/main" count="878" uniqueCount="377">
  <si>
    <t>ID</t>
  </si>
  <si>
    <t>Reference</t>
  </si>
  <si>
    <t>Morton, R. H., Fitz-Clarke, J. R., &amp; Banister, E. W. (1990). Modeling human performance in running. Journal of Applied Physiology, 69(3), 1171–1177.</t>
  </si>
  <si>
    <t>Morton1990</t>
  </si>
  <si>
    <t>k1,mean</t>
  </si>
  <si>
    <t>k1,sd</t>
  </si>
  <si>
    <t>k1,se</t>
  </si>
  <si>
    <t>t1,mean</t>
  </si>
  <si>
    <t>t1,sd</t>
  </si>
  <si>
    <t>t1,se</t>
  </si>
  <si>
    <t>t2,mean</t>
  </si>
  <si>
    <t>t2,sd</t>
  </si>
  <si>
    <t>t2,se</t>
  </si>
  <si>
    <t>k2,mean</t>
  </si>
  <si>
    <t>k2,sd</t>
  </si>
  <si>
    <t>k2,se</t>
  </si>
  <si>
    <t>paricipant</t>
  </si>
  <si>
    <t>p0,mean</t>
  </si>
  <si>
    <t>p0,sd</t>
  </si>
  <si>
    <t>p0,se</t>
  </si>
  <si>
    <t>ewb</t>
  </si>
  <si>
    <t>rhm</t>
  </si>
  <si>
    <t>Notes</t>
  </si>
  <si>
    <t>Rows</t>
  </si>
  <si>
    <t>Busso, T., Hakkainen, K., Pakarinen, A., Carasso, C., Lacour, J. R., Komi, P. V., &amp; Kauhanen, H. (1990). A systems model of training responses and its relationship to hormonal responses in elite weight-lifters. European Journal of Applied Physiology, 61, 48–51</t>
  </si>
  <si>
    <t>Busso1990</t>
  </si>
  <si>
    <t>group</t>
  </si>
  <si>
    <t>decay rates expressed as: mean half-lives were 16.1 days, SD 3.0 fitness and 15.4 days, SD 2.8 fatigue</t>
  </si>
  <si>
    <t>Include</t>
  </si>
  <si>
    <t>two-component, negative values for k2</t>
  </si>
  <si>
    <t>Busso, T., Carasso, C., &amp; Lacour, J. R. (1991). Adequacy of a systems structure in the modeling of training effects on performance. Journal of Applied Physiology, 71(5), 2044–2049. https://doi.org/10.1152/jappl.1991.71.5.2044</t>
  </si>
  <si>
    <t>Busso1991a</t>
  </si>
  <si>
    <t>Busso1991b</t>
  </si>
  <si>
    <t>Wood, R. E., Hayter, S., Rowbottom, D., &amp; Stewart, I. (2005). Applying a mathematical model to training adaptation in a distance runner. European Journal of Applied Physiology, 94(3), 310–316. https://doi.org/10.1007/s00421-005-1319-2</t>
  </si>
  <si>
    <t>Wood2005</t>
  </si>
  <si>
    <t>Case study, p0 estimated from plot, scaled to 1000</t>
  </si>
  <si>
    <t>Busso, T., Denis, C., Bonnefoy, R., Geyssant, A., &amp; Lacour, J.-R. (1997). Modeling of adaptations to physical training by using a recursive least squares algorithm. American Journal Of Physiology, 82, 1685–1693.</t>
  </si>
  <si>
    <t>Busso1997</t>
  </si>
  <si>
    <t>A</t>
  </si>
  <si>
    <t>B</t>
  </si>
  <si>
    <t>p* = 0.8 p1</t>
  </si>
  <si>
    <t>Le Bris, S., Ledermann, B., Topin, N., Messner-Pellenc, P., &amp; Le Gallais, D. (2006). High versus low training frequency in cardiac rehabilitation using a systems model of training. European Journal of Applied Physiology, 96(3), 217–224. https://doi.org/10.1007/s00421-005-0043-2</t>
  </si>
  <si>
    <t>LeBris2006</t>
  </si>
  <si>
    <t>Pfeiffer, M. (2008). Modeling the Relationship between Training and Performance - A Comparison of Two Antagonistic Concepts. International Journal of Computer Science in Sport, 7(2), 13–32.</t>
  </si>
  <si>
    <t>Pfeiffer2008</t>
  </si>
  <si>
    <t>M1PP</t>
  </si>
  <si>
    <t>M1MP</t>
  </si>
  <si>
    <t>M2PP</t>
  </si>
  <si>
    <t>M2MP</t>
  </si>
  <si>
    <t>F1PP</t>
  </si>
  <si>
    <t>F1MP</t>
  </si>
  <si>
    <t>M3PP</t>
  </si>
  <si>
    <t>M3MP</t>
  </si>
  <si>
    <t>M3FI</t>
  </si>
  <si>
    <t>F2PP</t>
  </si>
  <si>
    <t>F2MP</t>
  </si>
  <si>
    <t>F2FI</t>
  </si>
  <si>
    <t>F3PP</t>
  </si>
  <si>
    <t>F3MP</t>
  </si>
  <si>
    <t>F3MI</t>
  </si>
  <si>
    <t>Mulitple performance indicators</t>
  </si>
  <si>
    <t>Morin, S., Ahmaidi, S., &amp; Lepretre, P. M. (2016). Relevance of damped harmonic oscillation for modeling the training effects on daily physical performance capacity in team sport. International Journal of Sports Physiology and Performance, 11(7), 965–972. https://doi.org/10.1123/IJSPP.2015-0203</t>
  </si>
  <si>
    <t>Morin2016</t>
  </si>
  <si>
    <t>P2</t>
  </si>
  <si>
    <t>P3</t>
  </si>
  <si>
    <t>P4</t>
  </si>
  <si>
    <t>P5</t>
  </si>
  <si>
    <t>P6</t>
  </si>
  <si>
    <t>P1</t>
  </si>
  <si>
    <t>PerfMax</t>
  </si>
  <si>
    <t>PerfMin</t>
  </si>
  <si>
    <t>PerfMean</t>
  </si>
  <si>
    <t>Mitchell, L. J. G., Rattray, B., Fowlie, J., Saunders, P. U., &amp; Pyne, D. B. (2020). The impact of different training load quantification and modelling methodologies on performance predictions in elite swimmers. European Journal of Sport Science, 0(0), 1–10. https://doi.org/10.1080/17461391.2020.1719211</t>
  </si>
  <si>
    <t>Mitchel2020</t>
  </si>
  <si>
    <t>Data available??? - no specifics contained, worth contacting?</t>
  </si>
  <si>
    <t>Chalencon, S., Pichot, V., Roche, F., Lacour, J. R., Garet, M., Connes, P., … Busso, T. (2015). Modeling of performance and ANS activity for predicting future responses to training. European Journal of Applied Physiology, 115(3), 589–596. https://doi.org/10.1007/s00421-014-3035-2</t>
  </si>
  <si>
    <t>Chalencon2015</t>
  </si>
  <si>
    <t>Group</t>
  </si>
  <si>
    <t>P-GRP</t>
  </si>
  <si>
    <t>No absolute performance reference</t>
  </si>
  <si>
    <t>Stephens Hemingway, B. H., Burgess, K. E., Elyan, E., &amp; Swinton, P. A. (2020). The effects of measurement error and testing frequency on the fitness-fatigue model applied to resistance training: A simulation approach. International Journal of Sports Science and Coaching, 15(1), 60–71. https://doi.org/10.1177/1747954119887721</t>
  </si>
  <si>
    <t>StephensHemmingway2020</t>
  </si>
  <si>
    <t>Fictive, simulation</t>
  </si>
  <si>
    <t>Carey, D. L., Crow, J., Ong, K. L., Blanch, P., Morris, M. E., Dascombe, B. J., &amp; Crossley, K. M. (2018). Optimizing preseason training loads in Australian football. International Journal of Sports Physiology and Performance, 13(2), 194–199. https://doi.org/10.1123/ijspp.2016-0695</t>
  </si>
  <si>
    <t>Carey2018</t>
  </si>
  <si>
    <t>Parameters not presented</t>
  </si>
  <si>
    <t>Banister, E. W., Carter, J. B., &amp; Zarkadas, P. C. (1999). Training theory and taper: Validation in triathlon athletes. European Journal of Applied Physiology and Occupational Physiology, 79(2), 182–191. https://doi.org/10.1007/s004210050493</t>
  </si>
  <si>
    <t>Banister1999</t>
  </si>
  <si>
    <t>Millet2005</t>
  </si>
  <si>
    <t>Millet, G. P., Groslambert, A., Barbier, B., Rouillon, J. D., &amp; Candau, R. B. (2005). Modelling the relationships between training, anxiety, and fatigue in elite athletes. International Journal of Sports Medicine, 26(6), 492–498. https://doi.org/10.1055/s-2004-821137</t>
  </si>
  <si>
    <t>Anxiety</t>
  </si>
  <si>
    <t>Fatigue</t>
  </si>
  <si>
    <t>tn</t>
  </si>
  <si>
    <t>anxiety</t>
  </si>
  <si>
    <t>week</t>
  </si>
  <si>
    <t>fatigue</t>
  </si>
  <si>
    <t>Psych Params, performance plot digitized, attached</t>
  </si>
  <si>
    <t>Rygula, I. (2000). How To Construct Mathematical Model of Sport Training. Journal of Human Kinetics, 3.</t>
  </si>
  <si>
    <t>Rygula2000</t>
  </si>
  <si>
    <t>k3,mean</t>
  </si>
  <si>
    <t>k3,sd</t>
  </si>
  <si>
    <t>k3,se</t>
  </si>
  <si>
    <t>Méline, T., Mathieu, L., Borrani, F., Candau, R., &amp; Sanchez, A. M. J. (2019). Systems model and individual simulations of training strategies in elite short-track speed skaters. Journal of Sports Sciences, 37(3), 347–355. https://doi.org/10.1080/02640414.2018.1504375</t>
  </si>
  <si>
    <t>Meline2019</t>
  </si>
  <si>
    <t>Group, variable-time</t>
  </si>
  <si>
    <t>HF-GRP</t>
  </si>
  <si>
    <t>t3,mean</t>
  </si>
  <si>
    <t>t3,sd</t>
  </si>
  <si>
    <t>t3,se</t>
  </si>
  <si>
    <t>Suzuki, S., Sato, T., Maeda, A., &amp; Takahashi, Y. (2006). Program design based on a mathematical model using rating of perceived exertion for an elite Japanese sprinter: A case study. Journal of Strength and Conditioning Research, 20(1), 36–42. https://doi.org/10.1519/R-16914.1</t>
  </si>
  <si>
    <t>Suzuki2006</t>
  </si>
  <si>
    <t>Calvert, T. W., Banister, E. W., Savage, M. V., &amp; Bach, T. (1976). A systems model of training for athletic performance. Aust J Sports Med, SMC-6(2), 94–102.</t>
  </si>
  <si>
    <t>Confirm model</t>
  </si>
  <si>
    <t>Calvert1976</t>
  </si>
  <si>
    <t>Hellard, P., Avalos, M., Millet, G., Lacoste, L., Barale, F., &amp; Chatard, J. C. (2005). Modeling the residual effects and threshold saturation of training: A case study of olympic swimmers. Journal of Strength and Conditioning Research, 19(1), 67–75. https://doi.org/10.1519/14853.1</t>
  </si>
  <si>
    <t>Activity</t>
  </si>
  <si>
    <t>Swimming</t>
  </si>
  <si>
    <t>Hellard2005</t>
  </si>
  <si>
    <t>Busso, T., Candau, R., &amp; Lacour, J. R. (1994). Fatigue and fitness modelled from the effects of training on performance. European Journal of Applied Physiology and Occupational Physiology, 69(1), 50–54. https://doi.org/10.1007/BF00867927</t>
  </si>
  <si>
    <t>Busso1994</t>
  </si>
  <si>
    <t>Hammer</t>
  </si>
  <si>
    <t>Le Bris, S., Ledermann, B., Candau, R., Davy, J. M., Messner-Pellenc, P., &amp; Le Gallais, D. (2004). Applying a systems model of training to a patient with coronary artery disease. Medicine and Science in Sports and Exercise, 36(6), 942–948. https://doi.org/10.1249/01.MSS.0000128247.82321.32</t>
  </si>
  <si>
    <t>LeBris2004</t>
  </si>
  <si>
    <t>Banister, E. W., &amp; Hamilton, C. L. (1985). Variations in iron status with fatigue modelled from training in female distance runners. European Journal of Applied Physiology and Occupational Physiology, 54(1), 16–23. https://doi.org/10.1007/BF00426292</t>
  </si>
  <si>
    <t>Banister1985</t>
  </si>
  <si>
    <t>Busso, T., Benoit, H., Bonnefoy, R., Feasson, L., &amp; Lacour, J. R. (2002). Effects of training frequency on the dynamics of performance response to a single training bout. Journal of Applied Physiology, 92(2), 572–580. https://doi.org/10.1152/japplphysiol.00429.2001</t>
  </si>
  <si>
    <t>Busso2002</t>
  </si>
  <si>
    <t>Good plot of how parameters change with time, need to digitize</t>
  </si>
  <si>
    <t>Cycle Erg</t>
  </si>
  <si>
    <t>T</t>
  </si>
  <si>
    <t>t1</t>
  </si>
  <si>
    <t>t2</t>
  </si>
  <si>
    <t>k1</t>
  </si>
  <si>
    <t>k2</t>
  </si>
  <si>
    <t>t1SD</t>
  </si>
  <si>
    <t>t2D</t>
  </si>
  <si>
    <t>k1SD</t>
  </si>
  <si>
    <t>k2SD</t>
  </si>
  <si>
    <t>k1b</t>
  </si>
  <si>
    <t>k2b</t>
  </si>
  <si>
    <t>t2b</t>
  </si>
  <si>
    <t>t1b</t>
  </si>
  <si>
    <t>Performance</t>
  </si>
  <si>
    <t>Sub</t>
  </si>
  <si>
    <t>C</t>
  </si>
  <si>
    <t>D</t>
  </si>
  <si>
    <t>E</t>
  </si>
  <si>
    <t>F</t>
  </si>
  <si>
    <t>p0</t>
  </si>
  <si>
    <t>min</t>
  </si>
  <si>
    <t>max</t>
  </si>
  <si>
    <t>Turner, J. D., Mazzoleni, M. J., Little, J. A., Sequeira, D., &amp; Mann, B. P. (2017). A nonlinear model for the characterization and optimization of athletic training and performance. Biomedical Human Kinetics, 9(1), 82–93. https://doi.org/10.1515/bhk-2017-0013</t>
  </si>
  <si>
    <t>Turner2017</t>
  </si>
  <si>
    <t>Cycling (road)</t>
  </si>
  <si>
    <t>Busso, T. (2003). Variable dose-response relationship between exercise training and performance. Medicine and Science in Sports and Exercise, 35(7), 1188–1195. https://doi.org/10.1249/01.MSS.0000074465.13621.37</t>
  </si>
  <si>
    <t>Busso2003</t>
  </si>
  <si>
    <t>Period 1</t>
  </si>
  <si>
    <t>Period 2</t>
  </si>
  <si>
    <t>Wallace, L. K., Slattery, K. M., &amp; Coutts, A. J. (2014). A comparison of methods for quantifying training load: Relationships between modelled and actual training responses. European Journal of Applied Physiology, 114(1), 11–20. https://doi.org/10.1007/s00421-013-2745-1</t>
  </si>
  <si>
    <t>Wallace2014</t>
  </si>
  <si>
    <t>Williams, S., West, S., Howells, D., Kemp, S. P. T., Flatt, A. A., &amp; Stokes, K. (2018). Modelling the HRV response to training loads in elite rugby sevens players. Journal of Sports Science and Medicine, 17(3), 402–408.</t>
  </si>
  <si>
    <t>Williams2018</t>
  </si>
  <si>
    <t>HRV</t>
  </si>
  <si>
    <t>sRPE(n=8)</t>
  </si>
  <si>
    <t>HSD(n=8)</t>
  </si>
  <si>
    <t>Group(n=6)</t>
  </si>
  <si>
    <t>McGregor, S. J., Weese, R. K., &amp; Ratz, I. K. (2009). Performance modeling in an Olympic 1500-m finalist: a practical approach. Journal of Strength and Conditioning Research / National Strength &amp; Conditioning Association, 23(9), 2515–2523. https://doi.org/10.1519/JSC.0b013e3181bf88be</t>
  </si>
  <si>
    <t>McGregor2009</t>
  </si>
  <si>
    <t>Running</t>
  </si>
  <si>
    <t>Not fitted, chosen.</t>
  </si>
  <si>
    <r>
      <t xml:space="preserve">Mujika, I., Busso, T., Lacoste, L., Barale, F., Geyssant, A., &amp; Chatard, J. C. (1996). Modeled responses to training and taper in competitive swimmers. </t>
    </r>
    <r>
      <rPr>
        <i/>
        <sz val="11"/>
        <color theme="1"/>
        <rFont val="Calibri"/>
        <family val="2"/>
        <scheme val="minor"/>
      </rPr>
      <t>Medicine and Science in Sports and Exercise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(2), 251–258. https://doi.org/10.1097/00005768-199602000-00015</t>
    </r>
  </si>
  <si>
    <t>Mujika1996</t>
  </si>
  <si>
    <t>Group(n=17)</t>
  </si>
  <si>
    <t>Hellard, P., Avalos, M., Lacoste, L., Barale, F., Chatard, J. C., &amp; Millet, G. P. (2006). Assessing the limitations of the Banister model in monitoring training. Journal of Sports Sciences, 24(5), 509–520. https://doi.org/10.1080/02640410500244697</t>
  </si>
  <si>
    <t>Hellard2006</t>
  </si>
  <si>
    <t>Sanchez, A. M. J., Galbès, O., Fabre-Guery, F., Thomas, L., Douillard, A., Py, G., … Candau, R. B. (2013). Modelling training response in elite female gymnasts and optimal strategies of overload training and taper. Journal of Sports Sciences, 31(14), 1510–1519. https://doi.org/10.1080/02640414.2013.786183</t>
  </si>
  <si>
    <t>Sanchez2013</t>
  </si>
  <si>
    <t>Gymnastics</t>
  </si>
  <si>
    <t>Group(n=5)</t>
  </si>
  <si>
    <t>N</t>
  </si>
  <si>
    <r>
      <t xml:space="preserve">Thomas, L., Mujika, I., &amp; Busso, T. (2009). Computer simulations assessing the potential performance benefit of a final increase in training during pre-event taper. </t>
    </r>
    <r>
      <rPr>
        <i/>
        <sz val="11"/>
        <color theme="1"/>
        <rFont val="Calibri"/>
        <family val="2"/>
        <scheme val="minor"/>
      </rPr>
      <t>Journal of Strength and Conditioning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(6), 1729–1736. https://doi.org/10.1519/JSC.0b013e3181b3dfa1</t>
    </r>
  </si>
  <si>
    <t>Thomas2009</t>
  </si>
  <si>
    <t>Athletes / nonathletes, time-variant</t>
  </si>
  <si>
    <t>NonAthletes</t>
  </si>
  <si>
    <t>Athletes</t>
  </si>
  <si>
    <t>Exercise</t>
  </si>
  <si>
    <t>Clinical</t>
  </si>
  <si>
    <t>Chalencon, S., Busso, T., Lacour, J. R., Garet, M., Pichot, V., Connes, P., … Barthélémy, J. C. (2012). A Model for the Training Effects in Swimming Demonstrates a Strong Relationship between Parasympathetic Activity, Performance and Index of Fatigue. PLoS ONE, 7(12), 1–10. https://doi.org/10.1371/journal.pone.0052636</t>
  </si>
  <si>
    <t>Chalencon2012</t>
  </si>
  <si>
    <t>Performance (Individual P0?)</t>
  </si>
  <si>
    <t>Thomas2008</t>
  </si>
  <si>
    <t>Swimmers</t>
  </si>
  <si>
    <t>tg</t>
  </si>
  <si>
    <t>Constraints</t>
  </si>
  <si>
    <t>Const.Time</t>
  </si>
  <si>
    <t>k1/k2</t>
  </si>
  <si>
    <t>Total N</t>
  </si>
  <si>
    <t>Rugby</t>
  </si>
  <si>
    <t>baseline</t>
  </si>
  <si>
    <t>Variable</t>
  </si>
  <si>
    <t>Mean</t>
  </si>
  <si>
    <t>SD</t>
  </si>
  <si>
    <t>CV</t>
  </si>
  <si>
    <t>Triathlon</t>
  </si>
  <si>
    <t>Weightlifting</t>
  </si>
  <si>
    <t>AFL</t>
  </si>
  <si>
    <t>Psychological</t>
  </si>
  <si>
    <t>Included</t>
  </si>
  <si>
    <t>Individual</t>
  </si>
  <si>
    <t>Week</t>
  </si>
  <si>
    <t>Perf</t>
  </si>
  <si>
    <t>Points</t>
  </si>
  <si>
    <t>Name</t>
  </si>
  <si>
    <t>X</t>
  </si>
  <si>
    <t>Y</t>
  </si>
  <si>
    <t>Time</t>
  </si>
  <si>
    <t>Marker 1</t>
  </si>
  <si>
    <t>0:00:00:00</t>
  </si>
  <si>
    <t>Marker 2</t>
  </si>
  <si>
    <t>Marker 3</t>
  </si>
  <si>
    <t>Marker 4</t>
  </si>
  <si>
    <t>Marker 5</t>
  </si>
  <si>
    <t>Marker 6</t>
  </si>
  <si>
    <t>Marker 7</t>
  </si>
  <si>
    <t>Marker 8</t>
  </si>
  <si>
    <t>Marker 9</t>
  </si>
  <si>
    <t>Marker 10</t>
  </si>
  <si>
    <t>Marker 11</t>
  </si>
  <si>
    <t>Marker 12</t>
  </si>
  <si>
    <t>Marker 13</t>
  </si>
  <si>
    <t>Marker 14</t>
  </si>
  <si>
    <t>Marker 15</t>
  </si>
  <si>
    <t>Marker 16</t>
  </si>
  <si>
    <t>Marker 17</t>
  </si>
  <si>
    <t>Marker 18</t>
  </si>
  <si>
    <t>Marker 19</t>
  </si>
  <si>
    <t>Day</t>
  </si>
  <si>
    <t>TRIMP</t>
  </si>
  <si>
    <t>Marker 20</t>
  </si>
  <si>
    <t>Marker 21</t>
  </si>
  <si>
    <t>Marker 22</t>
  </si>
  <si>
    <t>Marker 23</t>
  </si>
  <si>
    <t>Marker 24</t>
  </si>
  <si>
    <t>Marker 25</t>
  </si>
  <si>
    <t>Marker 26</t>
  </si>
  <si>
    <t>Marker 27</t>
  </si>
  <si>
    <t>Marker 28</t>
  </si>
  <si>
    <t>Marker 29</t>
  </si>
  <si>
    <t>Marker 30</t>
  </si>
  <si>
    <t>Marker 31</t>
  </si>
  <si>
    <t>Marker 32</t>
  </si>
  <si>
    <t>Marker 33</t>
  </si>
  <si>
    <t>Marker 34</t>
  </si>
  <si>
    <t>Marker 35</t>
  </si>
  <si>
    <t>Marker 36</t>
  </si>
  <si>
    <t>Marker 37</t>
  </si>
  <si>
    <t>TLMax</t>
  </si>
  <si>
    <t>TLMean</t>
  </si>
  <si>
    <t>TLSD</t>
  </si>
  <si>
    <t>TL</t>
  </si>
  <si>
    <t>one-component, Stimulus = Duration(mins) * Power / Maximum Aerobic Power</t>
  </si>
  <si>
    <t>Relevant</t>
  </si>
  <si>
    <t>Response</t>
  </si>
  <si>
    <t>Impulse</t>
  </si>
  <si>
    <t>Exercise Tolerance</t>
  </si>
  <si>
    <t>Physiological</t>
  </si>
  <si>
    <t>Count</t>
  </si>
  <si>
    <t>Training Status</t>
  </si>
  <si>
    <t>Mixed Training</t>
  </si>
  <si>
    <t>Performances</t>
  </si>
  <si>
    <t>Duration</t>
  </si>
  <si>
    <t>Gender</t>
  </si>
  <si>
    <t>M</t>
  </si>
  <si>
    <t>Other Measure</t>
  </si>
  <si>
    <t>VO2, MAP</t>
  </si>
  <si>
    <t>Recreational or sedentary for 6 mo.</t>
  </si>
  <si>
    <t>40-45</t>
  </si>
  <si>
    <t>Time-variant model (Same data as Busso 2002)</t>
  </si>
  <si>
    <t>Scarf2019</t>
  </si>
  <si>
    <t>Scarf, P., Shrahili, M., Alotaibi, N., Jobson, S., &amp; Passfield, L. (2019). Modelling the effect of training on performance in road cycling: estimation of the Banister model parameters using field data. Arxiv.Org, 1–14. Retrieved from https://arxiv.org/abs/1902.02061</t>
  </si>
  <si>
    <t>Specific</t>
  </si>
  <si>
    <t xml:space="preserve">Estimated sub-max Heart rate power output </t>
  </si>
  <si>
    <t>5' max power</t>
  </si>
  <si>
    <t>Inverted performance, k1 held at 1</t>
  </si>
  <si>
    <t>Competetive Cyclists</t>
  </si>
  <si>
    <t>Collected training data, calculated metrics</t>
  </si>
  <si>
    <t>Unspecified</t>
  </si>
  <si>
    <t>Unspecified, not logged</t>
  </si>
  <si>
    <t>VO2</t>
  </si>
  <si>
    <t>Elite gymnasts</t>
  </si>
  <si>
    <t>Load in external load units, routines completed, etc.</t>
  </si>
  <si>
    <t>Elite Rugby</t>
  </si>
  <si>
    <t>Elite Hammer Throw (70.58 - iaaf 1049)</t>
  </si>
  <si>
    <t>6M / 4F</t>
  </si>
  <si>
    <t>Test: 400m Freestyle TT</t>
  </si>
  <si>
    <t>Regional to national level swimmers</t>
  </si>
  <si>
    <t>3M / 4F</t>
  </si>
  <si>
    <t>PB swims</t>
  </si>
  <si>
    <t>Elite Swimmers</t>
  </si>
  <si>
    <t>4M / 5F</t>
  </si>
  <si>
    <t>Volume</t>
  </si>
  <si>
    <t>Researchers testing their own data</t>
  </si>
  <si>
    <t>V02 max</t>
  </si>
  <si>
    <t>57 and 42 year old recreational</t>
  </si>
  <si>
    <t>10M / 5F</t>
  </si>
  <si>
    <t>Normalized TL (% of phase norm, so 100% would be max). Took peak perf from P0+ performance improvement.</t>
  </si>
  <si>
    <t>52 training weeks, 8 rest weeks. Performance improved 2.24 +/- 1.24 % over the study</t>
  </si>
  <si>
    <t>Clinical cardiovascular patients</t>
  </si>
  <si>
    <t>In the preseason, TL was 4617 ± 444 AU, the volume was 15.1 ±1.4 hours, and sRPE was 4.9 ± 0.5 AU. During the competitions period, TL was 4229 ± 640 AU, the volume was 13.8 ± 0.6 hours, and sRPE was 5.0 ± 1.0 AU. During the competitions period, the profile of weekly TL remained the same for all weeks.</t>
  </si>
  <si>
    <t>Volleyball</t>
  </si>
  <si>
    <t>Professional (Under 23)</t>
  </si>
  <si>
    <t>Unspecified, sRPE used as training measure</t>
  </si>
  <si>
    <t>3M / 3F</t>
  </si>
  <si>
    <t>4M / 4F</t>
  </si>
  <si>
    <t>National/International (U23)</t>
  </si>
  <si>
    <t>Externally prescribed, not specified</t>
  </si>
  <si>
    <t>-</t>
  </si>
  <si>
    <t>Fit Method</t>
  </si>
  <si>
    <t>Genetic programming - referenced to philippe 2018</t>
  </si>
  <si>
    <t>Blurb about prior estimation - for methods and/or introduction.</t>
  </si>
  <si>
    <t>Weighted average based on variance of incoming data</t>
  </si>
  <si>
    <t>Fundamentally different ways to determine priors</t>
  </si>
  <si>
    <t>ND</t>
  </si>
  <si>
    <t>NA (simulation)</t>
  </si>
  <si>
    <t>REPEATED</t>
  </si>
  <si>
    <t>Grid search (?) -- "multiple linear regression" "Grid of values"</t>
  </si>
  <si>
    <t>Recursive least squares with an exponential window. Ref: Busso 1997</t>
  </si>
  <si>
    <t>Recursive Least squares.</t>
  </si>
  <si>
    <t>LSE by minimizing residual sum of squares</t>
  </si>
  <si>
    <t>"Linear regression" ?</t>
  </si>
  <si>
    <t>NA - parameters assumed, simulation</t>
  </si>
  <si>
    <t>Least squares method (not referenced)</t>
  </si>
  <si>
    <t>least squares by Gauss-newton type algorithm. Ref: Sen, srivastava 1990 - regression analysis;theory methods and applications</t>
  </si>
  <si>
    <t>non-linear least squares iterative method, by minimizing the residual sum of quadratic differences between the real and the modelled performances (RSS) with a Gauss-Newton type algorithm</t>
  </si>
  <si>
    <t>least squares</t>
  </si>
  <si>
    <t>Chosen…</t>
  </si>
  <si>
    <t>least squares, minimize RSS</t>
  </si>
  <si>
    <t>Not specified</t>
  </si>
  <si>
    <t>iterative Least squares</t>
  </si>
  <si>
    <t>least squares, referenced Hellard 2006</t>
  </si>
  <si>
    <t>NA</t>
  </si>
  <si>
    <t>Thomas, L., Mujika, I., &amp; Busso, T. (2008). A model study of optimal training reduction during pre-event taper in elite swimmers. Journal of Sports Sciences, 26(6), 643–652. https://doi.org/10.1080/02640410701716782</t>
  </si>
  <si>
    <t>Not specified ? - given 2008, probably least squares</t>
  </si>
  <si>
    <t>Genetic Algorithm with  mean absolute error as objective function.</t>
  </si>
  <si>
    <t>Least squrares using Clarke&amp;Skiba sheet</t>
  </si>
  <si>
    <t>Least squares using excel solver</t>
  </si>
  <si>
    <t>The seven parameters examined were those producing the least square best fit of predicted performance against actual per 
the relaxation method with constraints (Glowinski et al. 1976).</t>
  </si>
  <si>
    <t>Fit (Short)</t>
  </si>
  <si>
    <t>Least squares</t>
  </si>
  <si>
    <t>Provided</t>
  </si>
  <si>
    <t>Genetic Algorithm</t>
  </si>
  <si>
    <t>Log Likelihood Maximization</t>
  </si>
  <si>
    <r>
      <t xml:space="preserve">Minimizing RSS, using grid search (1-150 days) -- </t>
    </r>
    <r>
      <rPr>
        <b/>
        <sz val="8"/>
        <color rgb="FFFF0000"/>
        <rFont val="Calibri"/>
        <family val="2"/>
        <scheme val="minor"/>
      </rPr>
      <t>need to confirm decay rate params.</t>
    </r>
  </si>
  <si>
    <r>
      <t xml:space="preserve">Maximizing log-likelihood function - read around eq. 7 and 8, </t>
    </r>
    <r>
      <rPr>
        <b/>
        <sz val="8"/>
        <color theme="1"/>
        <rFont val="Calibri"/>
        <family val="2"/>
        <scheme val="minor"/>
      </rPr>
      <t>DOES INVOLVE PROBABILITY IN FITTING</t>
    </r>
  </si>
  <si>
    <t>Do the parameters adhere to the theoretical constraints of the model?</t>
  </si>
  <si>
    <t>Constant time is the traditional, 2 component (PTE/NTE) where parameters are independent from time.</t>
  </si>
  <si>
    <t>Individual data?</t>
  </si>
  <si>
    <t>Gouba2013</t>
  </si>
  <si>
    <t>Baker2020</t>
  </si>
  <si>
    <t>E. Gouba, B. O. Konfe, O. Nakoulima, B. Some, and O. Hue, “Applying a Mathematical Model to the Performance of a Female Monofin Swimmer,” Appl. Math., vol. 04, no. 12, pp. 1673–1681, 2013.</t>
  </si>
  <si>
    <t>least squares, using "Alienor method"</t>
  </si>
  <si>
    <t>700m Swim test</t>
  </si>
  <si>
    <t>High level junior monofin swimmer</t>
  </si>
  <si>
    <t>Case study</t>
  </si>
  <si>
    <t>E. Baker, C. Solomon, and I. Stewart, “Contribution of Nutrition and Psychometric Factors to the Fatigue Component of a Performance Prediction Model in Endurance Running,” J. Phys. Act. Res., vol. 5, no. 2, pp. 91–99, 2020.</t>
  </si>
  <si>
    <t>least squares, starting with τ1 = 45, τ2= 15, k1 = 1, k2 = 2</t>
  </si>
  <si>
    <t>Weekly 10k</t>
  </si>
  <si>
    <t>Single "competitive" runner</t>
  </si>
  <si>
    <t>t1/t2</t>
  </si>
  <si>
    <t>ModelB</t>
  </si>
  <si>
    <t>ModelC</t>
  </si>
  <si>
    <t>k2/k1</t>
  </si>
  <si>
    <t>entries</t>
  </si>
  <si>
    <t>mean</t>
  </si>
  <si>
    <t>sd</t>
  </si>
  <si>
    <t>total N</t>
  </si>
  <si>
    <t>Group  mean or individual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</si>
</sst>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73" formatCode="0.00000000000"/>
    <numFmt numFmtId="177" formatCode="0.000000000000000"/>
  </numFmts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53">
    <xf numFmtId="0" fontId="0" fillId="0" borderId="0" xfId="0"/>
    <xf numFmtId="0" fontId="0" fillId="2" borderId="1" xfId="0" applyNumberFormat="1" applyFont="1" applyFill="1" applyBorder="1" applyAlignment="1" applyProtection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/>
    <xf numFmtId="2" fontId="0" fillId="0" borderId="0" xfId="0" applyNumberFormat="1"/>
    <xf numFmtId="0" fontId="0" fillId="0" borderId="0" xfId="0" applyAlignment="1">
      <alignment horizontal="left" textRotation="90"/>
    </xf>
    <xf numFmtId="0" fontId="0" fillId="0" borderId="0" xfId="0" applyAlignment="1"/>
    <xf numFmtId="0" fontId="2" fillId="0" borderId="0" xfId="0" applyFont="1"/>
    <xf numFmtId="0" fontId="2" fillId="0" borderId="0" xfId="0" applyFont="1" applyBorder="1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NumberFormat="1" applyAlignment="1">
      <alignment horizontal="center"/>
    </xf>
    <xf numFmtId="0" fontId="5" fillId="0" borderId="0" xfId="0" applyFont="1"/>
    <xf numFmtId="0" fontId="0" fillId="0" borderId="0" xfId="0" quotePrefix="1" applyAlignment="1">
      <alignment vertical="top" wrapText="1"/>
    </xf>
    <xf numFmtId="0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9" fontId="0" fillId="0" borderId="0" xfId="1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77" fontId="0" fillId="6" borderId="0" xfId="0" applyNumberFormat="1" applyFill="1"/>
    <xf numFmtId="173" fontId="0" fillId="7" borderId="0" xfId="0" applyNumberFormat="1" applyFill="1"/>
    <xf numFmtId="2" fontId="0" fillId="0" borderId="0" xfId="0" applyNumberFormat="1" applyAlignment="1">
      <alignment vertical="top" wrapText="1"/>
    </xf>
    <xf numFmtId="2" fontId="0" fillId="0" borderId="0" xfId="0" applyNumberFormat="1" applyAlignment="1">
      <alignment horizontal="center" vertical="top" wrapText="1"/>
    </xf>
    <xf numFmtId="2" fontId="0" fillId="0" borderId="0" xfId="0" applyNumberFormat="1" applyAlignment="1">
      <alignment horizontal="left" vertical="top" wrapText="1"/>
    </xf>
    <xf numFmtId="2" fontId="0" fillId="3" borderId="0" xfId="0" applyNumberFormat="1" applyFill="1" applyAlignment="1">
      <alignment vertical="top" wrapText="1"/>
    </xf>
    <xf numFmtId="2" fontId="0" fillId="4" borderId="0" xfId="0" applyNumberFormat="1" applyFill="1" applyAlignment="1">
      <alignment vertical="top" wrapText="1"/>
    </xf>
    <xf numFmtId="2" fontId="0" fillId="5" borderId="0" xfId="0" applyNumberFormat="1" applyFill="1" applyAlignment="1">
      <alignment vertical="top" wrapText="1"/>
    </xf>
    <xf numFmtId="177" fontId="0" fillId="6" borderId="0" xfId="0" applyNumberFormat="1" applyFill="1" applyAlignment="1">
      <alignment vertical="top" wrapText="1"/>
    </xf>
    <xf numFmtId="173" fontId="0" fillId="7" borderId="0" xfId="0" applyNumberFormat="1" applyFill="1" applyAlignment="1">
      <alignment vertical="top" wrapText="1"/>
    </xf>
    <xf numFmtId="2" fontId="5" fillId="8" borderId="0" xfId="0" applyNumberFormat="1" applyFont="1" applyFill="1" applyAlignment="1">
      <alignment horizontal="center"/>
    </xf>
    <xf numFmtId="177" fontId="5" fillId="6" borderId="0" xfId="0" applyNumberFormat="1" applyFont="1" applyFill="1"/>
    <xf numFmtId="9" fontId="0" fillId="4" borderId="0" xfId="1" applyFont="1" applyFill="1"/>
    <xf numFmtId="9" fontId="0" fillId="0" borderId="0" xfId="1" applyFont="1"/>
    <xf numFmtId="9" fontId="0" fillId="5" borderId="0" xfId="1" applyFont="1" applyFill="1"/>
    <xf numFmtId="0" fontId="2" fillId="0" borderId="2" xfId="0" applyFont="1" applyBorder="1"/>
    <xf numFmtId="2" fontId="0" fillId="0" borderId="3" xfId="0" applyNumberFormat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2" fontId="0" fillId="4" borderId="3" xfId="0" applyNumberFormat="1" applyFill="1" applyBorder="1"/>
    <xf numFmtId="2" fontId="0" fillId="0" borderId="3" xfId="0" applyNumberFormat="1" applyBorder="1"/>
    <xf numFmtId="2" fontId="0" fillId="5" borderId="4" xfId="0" applyNumberFormat="1" applyFill="1" applyBorder="1"/>
  </cellXfs>
  <cellStyles count="2">
    <cellStyle name="Normal" xfId="0" builtinId="0"/>
    <cellStyle name="Percent" xfId="1" builtinId="5"/>
  </cellStyles>
  <dxfs count="75"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39994506668294322"/>
        </patternFill>
      </fill>
    </dxf>
    <dxf>
      <numFmt numFmtId="0" formatCode="General"/>
      <alignment horizontal="center"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39994506668294322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73" formatCode="0.00000000000"/>
      <fill>
        <patternFill patternType="solid">
          <fgColor indexed="64"/>
          <bgColor theme="4" tint="0.59999389629810485"/>
        </patternFill>
      </fill>
    </dxf>
    <dxf>
      <numFmt numFmtId="177" formatCode="0.000000000000000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Activities!$B$1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Activities!$A$2:$A$12</c:f>
              <c:strCache>
                <c:ptCount val="11"/>
                <c:pt idx="0">
                  <c:v>Swimming</c:v>
                </c:pt>
                <c:pt idx="1">
                  <c:v>Cycle Erg</c:v>
                </c:pt>
                <c:pt idx="2">
                  <c:v>Running</c:v>
                </c:pt>
                <c:pt idx="3">
                  <c:v>Cycling (road)</c:v>
                </c:pt>
                <c:pt idx="4">
                  <c:v>Exercise</c:v>
                </c:pt>
                <c:pt idx="5">
                  <c:v>Rugby</c:v>
                </c:pt>
                <c:pt idx="6">
                  <c:v>Triathlon</c:v>
                </c:pt>
                <c:pt idx="7">
                  <c:v>Weightlifting</c:v>
                </c:pt>
                <c:pt idx="8">
                  <c:v>Hammer</c:v>
                </c:pt>
                <c:pt idx="9">
                  <c:v>Gymnastics</c:v>
                </c:pt>
                <c:pt idx="10">
                  <c:v>AFL</c:v>
                </c:pt>
              </c:strCache>
            </c:strRef>
          </c:cat>
          <c:val>
            <c:numRef>
              <c:f>Activities!$B$2:$B$12</c:f>
              <c:numCache>
                <c:formatCode>General</c:formatCode>
                <c:ptCount val="11"/>
                <c:pt idx="0">
                  <c:v>9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1-44A2-821D-DCE0421D4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overlap val="-13"/>
        <c:axId val="801898368"/>
        <c:axId val="801897952"/>
      </c:barChart>
      <c:catAx>
        <c:axId val="80189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897952"/>
        <c:crosses val="autoZero"/>
        <c:auto val="1"/>
        <c:lblAlgn val="ctr"/>
        <c:lblOffset val="100"/>
        <c:noMultiLvlLbl val="0"/>
      </c:catAx>
      <c:valAx>
        <c:axId val="801897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Study Count</a:t>
                </a:r>
              </a:p>
            </c:rich>
          </c:tx>
          <c:layout>
            <c:manualLayout>
              <c:xMode val="edge"/>
              <c:yMode val="edge"/>
              <c:x val="2.0865939787141127E-2"/>
              <c:y val="0.22114351943988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89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Activities!$B$18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66-4EEF-B9B0-78EA75330E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12-4F29-98C7-D168E9ADF9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12-4F29-98C7-D168E9ADF9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F12-4F29-98C7-D168E9ADF98C}"/>
              </c:ext>
            </c:extLst>
          </c:dPt>
          <c:cat>
            <c:strRef>
              <c:f>Activities!$A$19:$A$22</c:f>
              <c:strCache>
                <c:ptCount val="4"/>
                <c:pt idx="0">
                  <c:v>Performance</c:v>
                </c:pt>
                <c:pt idx="1">
                  <c:v>Physiological</c:v>
                </c:pt>
                <c:pt idx="2">
                  <c:v>Exercise Tolerance</c:v>
                </c:pt>
                <c:pt idx="3">
                  <c:v>Psychological</c:v>
                </c:pt>
              </c:strCache>
            </c:strRef>
          </c:cat>
          <c:val>
            <c:numRef>
              <c:f>Activities!$B$19:$B$22</c:f>
              <c:numCache>
                <c:formatCode>General</c:formatCode>
                <c:ptCount val="4"/>
                <c:pt idx="0">
                  <c:v>28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6-4EEF-B9B0-78EA75330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197480941297864"/>
          <c:y val="0.83680446194225722"/>
          <c:w val="0.68101052398747686"/>
          <c:h val="0.163195538057742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28575</xdr:colOff>
      <xdr:row>1</xdr:row>
      <xdr:rowOff>28575</xdr:rowOff>
    </xdr:from>
    <xdr:to>
      <xdr:col>21</xdr:col>
      <xdr:colOff>276042</xdr:colOff>
      <xdr:row>2</xdr:row>
      <xdr:rowOff>180885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219075"/>
          <a:ext cx="1466667" cy="723810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</xdr:colOff>
      <xdr:row>2</xdr:row>
      <xdr:rowOff>19050</xdr:rowOff>
    </xdr:from>
    <xdr:to>
      <xdr:col>21</xdr:col>
      <xdr:colOff>485564</xdr:colOff>
      <xdr:row>3</xdr:row>
      <xdr:rowOff>47550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82125" y="1162050"/>
          <a:ext cx="1685714" cy="600000"/>
        </a:xfrm>
        <a:prstGeom prst="rect">
          <a:avLst/>
        </a:prstGeom>
      </xdr:spPr>
    </xdr:pic>
    <xdr:clientData/>
  </xdr:twoCellAnchor>
  <xdr:twoCellAnchor>
    <xdr:from>
      <xdr:col>19</xdr:col>
      <xdr:colOff>28575</xdr:colOff>
      <xdr:row>3</xdr:row>
      <xdr:rowOff>9524</xdr:rowOff>
    </xdr:from>
    <xdr:to>
      <xdr:col>25</xdr:col>
      <xdr:colOff>142875</xdr:colOff>
      <xdr:row>6</xdr:row>
      <xdr:rowOff>533400</xdr:rowOff>
    </xdr:to>
    <xdr:sp macro="" textlink="">
      <xdr:nvSpPr>
        <xdr:cNvPr id="4" name="TextBox 3"/>
        <xdr:cNvSpPr txBox="1"/>
      </xdr:nvSpPr>
      <xdr:spPr>
        <a:xfrm>
          <a:off x="10420350" y="2105024"/>
          <a:ext cx="3771900" cy="2809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 K terms are in arbitrary units and not always provided - how to scale these units, are in negative terms sometimes (see</a:t>
          </a:r>
          <a:r>
            <a:rPr lang="en-US" sz="1100" baseline="0"/>
            <a:t> Busso 91)</a:t>
          </a:r>
          <a:endParaRPr lang="en-US" sz="1100"/>
        </a:p>
        <a:p>
          <a:r>
            <a:rPr lang="en-US" sz="1100"/>
            <a:t>* Models appear</a:t>
          </a:r>
          <a:r>
            <a:rPr lang="en-US" sz="1100" baseline="0"/>
            <a:t> not to conform to constraints</a:t>
          </a:r>
        </a:p>
        <a:p>
          <a:r>
            <a:rPr lang="en-US" sz="1100" baseline="0"/>
            <a:t>* Incorporating group values with individuals</a:t>
          </a:r>
        </a:p>
        <a:p>
          <a:r>
            <a:rPr lang="en-US" sz="1100" baseline="0"/>
            <a:t>* Calculating back from time-variant to traditional IR model</a:t>
          </a:r>
        </a:p>
        <a:p>
          <a:r>
            <a:rPr lang="en-US" sz="1100" baseline="0"/>
            <a:t>* Imprecise reporting of parameters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* k units relate training to performance</a:t>
          </a:r>
        </a:p>
        <a:p>
          <a:r>
            <a:rPr lang="en-US" sz="1100" baseline="0"/>
            <a:t>- perhpas scale one to the the other via ratio</a:t>
          </a:r>
        </a:p>
        <a:p>
          <a:r>
            <a:rPr lang="en-US" sz="1100" baseline="0"/>
            <a:t>- typical chane in performance per unit of training</a:t>
          </a:r>
        </a:p>
        <a:p>
          <a:endParaRPr lang="en-US" sz="1100" baseline="0"/>
        </a:p>
      </xdr:txBody>
    </xdr:sp>
    <xdr:clientData/>
  </xdr:twoCellAnchor>
  <xdr:twoCellAnchor editAs="oneCell">
    <xdr:from>
      <xdr:col>12</xdr:col>
      <xdr:colOff>171450</xdr:colOff>
      <xdr:row>8</xdr:row>
      <xdr:rowOff>314327</xdr:rowOff>
    </xdr:from>
    <xdr:to>
      <xdr:col>12</xdr:col>
      <xdr:colOff>2077674</xdr:colOff>
      <xdr:row>10</xdr:row>
      <xdr:rowOff>47625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39700" y="1076327"/>
          <a:ext cx="1906224" cy="685798"/>
        </a:xfrm>
        <a:prstGeom prst="rect">
          <a:avLst/>
        </a:prstGeom>
      </xdr:spPr>
    </xdr:pic>
    <xdr:clientData/>
  </xdr:twoCellAnchor>
  <xdr:oneCellAnchor>
    <xdr:from>
      <xdr:col>12</xdr:col>
      <xdr:colOff>171450</xdr:colOff>
      <xdr:row>9</xdr:row>
      <xdr:rowOff>314327</xdr:rowOff>
    </xdr:from>
    <xdr:ext cx="1906224" cy="685798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39700" y="1076327"/>
          <a:ext cx="1906224" cy="685798"/>
        </a:xfrm>
        <a:prstGeom prst="rect">
          <a:avLst/>
        </a:prstGeom>
      </xdr:spPr>
    </xdr:pic>
    <xdr:clientData/>
  </xdr:oneCellAnchor>
  <xdr:twoCellAnchor editAs="oneCell">
    <xdr:from>
      <xdr:col>17</xdr:col>
      <xdr:colOff>47624</xdr:colOff>
      <xdr:row>12</xdr:row>
      <xdr:rowOff>219075</xdr:rowOff>
    </xdr:from>
    <xdr:to>
      <xdr:col>18</xdr:col>
      <xdr:colOff>608847</xdr:colOff>
      <xdr:row>13</xdr:row>
      <xdr:rowOff>332047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954499" y="10020300"/>
          <a:ext cx="3761623" cy="684472"/>
        </a:xfrm>
        <a:prstGeom prst="rect">
          <a:avLst/>
        </a:prstGeom>
      </xdr:spPr>
    </xdr:pic>
    <xdr:clientData/>
  </xdr:twoCellAnchor>
  <xdr:twoCellAnchor editAs="oneCell">
    <xdr:from>
      <xdr:col>22</xdr:col>
      <xdr:colOff>299357</xdr:colOff>
      <xdr:row>1</xdr:row>
      <xdr:rowOff>0</xdr:rowOff>
    </xdr:from>
    <xdr:to>
      <xdr:col>26</xdr:col>
      <xdr:colOff>375243</xdr:colOff>
      <xdr:row>2</xdr:row>
      <xdr:rowOff>180881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45032" y="762000"/>
          <a:ext cx="2514286" cy="75238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925287</xdr:rowOff>
    </xdr:from>
    <xdr:to>
      <xdr:col>31</xdr:col>
      <xdr:colOff>37409</xdr:colOff>
      <xdr:row>3</xdr:row>
      <xdr:rowOff>191767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545675" y="1687287"/>
          <a:ext cx="5523809" cy="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186417</xdr:colOff>
      <xdr:row>3</xdr:row>
      <xdr:rowOff>13608</xdr:rowOff>
    </xdr:from>
    <xdr:to>
      <xdr:col>45</xdr:col>
      <xdr:colOff>428441</xdr:colOff>
      <xdr:row>6</xdr:row>
      <xdr:rowOff>165918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34703" y="394608"/>
          <a:ext cx="1466667" cy="723810"/>
        </a:xfrm>
        <a:prstGeom prst="rect">
          <a:avLst/>
        </a:prstGeom>
      </xdr:spPr>
    </xdr:pic>
    <xdr:clientData/>
  </xdr:twoCellAnchor>
  <xdr:twoCellAnchor editAs="oneCell">
    <xdr:from>
      <xdr:col>43</xdr:col>
      <xdr:colOff>176892</xdr:colOff>
      <xdr:row>8</xdr:row>
      <xdr:rowOff>4083</xdr:rowOff>
    </xdr:from>
    <xdr:to>
      <xdr:col>46</xdr:col>
      <xdr:colOff>25641</xdr:colOff>
      <xdr:row>11</xdr:row>
      <xdr:rowOff>32583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25178" y="1337583"/>
          <a:ext cx="1685714" cy="60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258536</xdr:colOff>
      <xdr:row>14</xdr:row>
      <xdr:rowOff>95249</xdr:rowOff>
    </xdr:from>
    <xdr:to>
      <xdr:col>47</xdr:col>
      <xdr:colOff>323536</xdr:colOff>
      <xdr:row>18</xdr:row>
      <xdr:rowOff>85630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06822" y="2571749"/>
          <a:ext cx="2514286" cy="752381"/>
        </a:xfrm>
        <a:prstGeom prst="rect">
          <a:avLst/>
        </a:prstGeom>
      </xdr:spPr>
    </xdr:pic>
    <xdr:clientData/>
  </xdr:twoCellAnchor>
  <xdr:twoCellAnchor editAs="oneCell">
    <xdr:from>
      <xdr:col>42</xdr:col>
      <xdr:colOff>571501</xdr:colOff>
      <xdr:row>19</xdr:row>
      <xdr:rowOff>68036</xdr:rowOff>
    </xdr:from>
    <xdr:to>
      <xdr:col>51</xdr:col>
      <xdr:colOff>584417</xdr:colOff>
      <xdr:row>23</xdr:row>
      <xdr:rowOff>67941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507465" y="3497036"/>
          <a:ext cx="5523809" cy="7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138112</xdr:colOff>
      <xdr:row>1</xdr:row>
      <xdr:rowOff>33337</xdr:rowOff>
    </xdr:from>
    <xdr:to>
      <xdr:col>13</xdr:col>
      <xdr:colOff>66675</xdr:colOff>
      <xdr:row>12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14288</xdr:colOff>
      <xdr:row>14</xdr:row>
      <xdr:rowOff>4762</xdr:rowOff>
    </xdr:from>
    <xdr:to>
      <xdr:col>11</xdr:col>
      <xdr:colOff>514350</xdr:colOff>
      <xdr:row>27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496050</xdr:colOff>
      <xdr:row>15</xdr:row>
      <xdr:rowOff>38478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190500"/>
          <a:ext cx="5372850" cy="27054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224118</xdr:colOff>
      <xdr:row>1</xdr:row>
      <xdr:rowOff>11206</xdr:rowOff>
    </xdr:from>
    <xdr:to>
      <xdr:col>28</xdr:col>
      <xdr:colOff>521425</xdr:colOff>
      <xdr:row>41</xdr:row>
      <xdr:rowOff>163606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706" y="201706"/>
          <a:ext cx="9374072" cy="77724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45</xdr:col>
      <xdr:colOff>376518</xdr:colOff>
      <xdr:row>35</xdr:row>
      <xdr:rowOff>136320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41471" y="190500"/>
          <a:ext cx="10058400" cy="6613320"/>
        </a:xfrm>
        <a:prstGeom prst="rect">
          <a:avLst/>
        </a:prstGeom>
      </xdr:spPr>
    </xdr:pic>
    <xdr:clientData/>
  </xdr:twoCellAnchor>
  <xdr:twoCellAnchor editAs="oneCell">
    <xdr:from>
      <xdr:col>1</xdr:col>
      <xdr:colOff>100853</xdr:colOff>
      <xdr:row>27</xdr:row>
      <xdr:rowOff>89647</xdr:rowOff>
    </xdr:from>
    <xdr:to>
      <xdr:col>12</xdr:col>
      <xdr:colOff>580071</xdr:colOff>
      <xdr:row>38</xdr:row>
      <xdr:rowOff>137004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971" y="5233147"/>
          <a:ext cx="7628571" cy="21428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brodie/AppData/Roaming/Microsoft/Excel/ParameterCollection2020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References"/>
      <sheetName val="Summary"/>
      <sheetName val="Activities"/>
      <sheetName val="Millet2005"/>
      <sheetName val="Busso2002"/>
      <sheetName val="Busso1994"/>
      <sheetName val="Busso19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2" name="Refs" displayName="Refs" ref="A1:R39" totalsRowShown="0" headerRowDxfId="71" dataDxfId="70">
  <autoFilter ref="A1:R39"/>
  <sortState ref="A2:P37">
    <sortCondition ref="A1:A36"/>
  </sortState>
  <tableColumns count="18">
    <tableColumn id="1" name="ID" dataDxfId="69"/>
    <tableColumn id="2" name="Reference" dataDxfId="68"/>
    <tableColumn id="17" name="Fit Method" dataDxfId="67"/>
    <tableColumn id="18" name="Fit (Short)" dataDxfId="66"/>
    <tableColumn id="10" name="Response" dataDxfId="65"/>
    <tableColumn id="16" name="Specific" dataDxfId="64"/>
    <tableColumn id="6" name="Impulse" dataDxfId="63"/>
    <tableColumn id="14" name="Gender" dataDxfId="62"/>
    <tableColumn id="13" name="Duration" dataDxfId="61">
      <calculatedColumnFormula>7*15</calculatedColumnFormula>
    </tableColumn>
    <tableColumn id="12" name="Performances" dataDxfId="60"/>
    <tableColumn id="11" name="Mixed Training" dataDxfId="59"/>
    <tableColumn id="15" name="Other Measure" dataDxfId="58"/>
    <tableColumn id="8" name="Training Status" dataDxfId="57"/>
    <tableColumn id="4" name="Rows" dataDxfId="56">
      <calculatedColumnFormula>COUNTIF(Params[Reference],Refs[[#This Row],[ID]])</calculatedColumnFormula>
    </tableColumn>
    <tableColumn id="7" name="Total N" dataDxfId="55">
      <calculatedColumnFormula>SUMIFS(Params[N],Params[Reference],Refs[[#This Row],[ID]])</calculatedColumnFormula>
    </tableColumn>
    <tableColumn id="5" name="Include" dataDxfId="54"/>
    <tableColumn id="9" name="Relevant" dataDxfId="53"/>
    <tableColumn id="3" name="Notes" dataDxfId="5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Params" displayName="Params" ref="A2:AP101" totalsRowShown="0">
  <autoFilter ref="A2:AP101"/>
  <sortState ref="A2:AF88">
    <sortCondition ref="B2:B88"/>
    <sortCondition ref="A2:A88"/>
  </sortState>
  <tableColumns count="42">
    <tableColumn id="1" name="Reference"/>
    <tableColumn id="28" name="N" dataDxfId="74"/>
    <tableColumn id="42" name="Include" dataDxfId="10">
      <calculatedColumnFormula>INDEX(Refs[Include],MATCH(Params[[#This Row],[Reference]],Refs[ID],0))</calculatedColumnFormula>
    </tableColumn>
    <tableColumn id="39" name="Individual" dataDxfId="73">
      <calculatedColumnFormula>Params[[#This Row],[N]]=1</calculatedColumnFormula>
    </tableColumn>
    <tableColumn id="2" name="paricipant" dataDxfId="72"/>
    <tableColumn id="30" name="Constraints" dataDxfId="42">
      <calculatedColumnFormula>AND(Params[[#This Row],[t1,mean]]&gt;Params[[#This Row],[t2,mean]],Params[[#This Row],[k1,mean]]&lt;Params[[#This Row],[k2,mean]])</calculatedColumnFormula>
    </tableColumn>
    <tableColumn id="31" name="Const.Time" dataDxfId="41">
      <calculatedColumnFormula>AND(SUM(Params[[#This Row],[k3,mean]:[t3,se]])=0,SUM(Params[[#This Row],[k1,mean]:[k1,se]])&lt;&gt;0,SUM(Params[[#This Row],[k2,mean]:[k2,se]])&lt;&gt;0)</calculatedColumnFormula>
    </tableColumn>
    <tableColumn id="21" name="tn" dataDxfId="33">
      <calculatedColumnFormula>IFERROR((Params[[#This Row],[t1,mean]]*Params[[#This Row],[t2,mean]])/(Params[[#This Row],[t1,mean]]-Params[[#This Row],[t2,mean]]) * LN(Params[[#This Row],[k2,mean]]/Params[[#This Row],[k1,mean]]),"-")</calculatedColumnFormula>
    </tableColumn>
    <tableColumn id="29" name="tg" dataDxfId="40">
      <calculatedColumnFormula>IFERROR((Params[[#This Row],[t1,mean]]*Params[[#This Row],[t2,mean]])/(Params[[#This Row],[t1,mean]]-Params[[#This Row],[t2,mean]]) * LN((Params[[#This Row],[k2,mean]]/Params[[#This Row],[k1,mean]])*(Params[[#This Row],[t1,mean]]/Params[[#This Row],[t2,mean]])),"-")</calculatedColumnFormula>
    </tableColumn>
    <tableColumn id="32" name="k2/k1" dataDxfId="31">
      <calculatedColumnFormula>IF(IFERROR(Params[[#This Row],[k2,mean]]/Params[[#This Row],[k1,mean]],"-")=0,"-",IFERROR(Params[[#This Row],[k2,mean]]/Params[[#This Row],[k1,mean]],"-"))</calculatedColumnFormula>
    </tableColumn>
    <tableColumn id="41" name="k1/k2" dataDxfId="32">
      <calculatedColumnFormula>IFERROR(Params[[#This Row],[k1,mean]]/Params[[#This Row],[k2,mean]],"-")</calculatedColumnFormula>
    </tableColumn>
    <tableColumn id="40" name="t1/t2" dataDxfId="39">
      <calculatedColumnFormula>IFERROR(Params[[#This Row],[t1,mean]]/Params[[#This Row],[t2,mean]],"-")</calculatedColumnFormula>
    </tableColumn>
    <tableColumn id="3" name="p0,mean" dataDxfId="38"/>
    <tableColumn id="4" name="p0,sd"/>
    <tableColumn id="5" name="p0,se"/>
    <tableColumn id="6" name="t1,mean" dataDxfId="37"/>
    <tableColumn id="7" name="t1,sd"/>
    <tableColumn id="8" name="t1,se"/>
    <tableColumn id="9" name="t2,mean" dataDxfId="36"/>
    <tableColumn id="10" name="t2,sd"/>
    <tableColumn id="11" name="t2,se"/>
    <tableColumn id="12" name="k1,mean" dataDxfId="35"/>
    <tableColumn id="13" name="k1,sd"/>
    <tableColumn id="14" name="k1,se"/>
    <tableColumn id="15" name="k2,mean" dataDxfId="34"/>
    <tableColumn id="16" name="k2,sd"/>
    <tableColumn id="17" name="k2,se"/>
    <tableColumn id="22" name="k3,mean"/>
    <tableColumn id="23" name="k3,sd"/>
    <tableColumn id="24" name="k3,se"/>
    <tableColumn id="25" name="t3,mean"/>
    <tableColumn id="26" name="t3,sd"/>
    <tableColumn id="27" name="t3,se"/>
    <tableColumn id="18" name="PerfMax"/>
    <tableColumn id="19" name="PerfMin"/>
    <tableColumn id="20" name="PerfMean"/>
    <tableColumn id="33" name="TLMax"/>
    <tableColumn id="34" name="TLMean"/>
    <tableColumn id="35" name="TLSD"/>
    <tableColumn id="36" name="Duration"/>
    <tableColumn id="37" name="Performances"/>
    <tableColumn id="38" name="Volum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14" totalsRowShown="0">
  <autoFilter ref="A1:D14"/>
  <tableColumns count="4">
    <tableColumn id="1" name="Variable" dataDxfId="51"/>
    <tableColumn id="2" name="Mean" dataDxfId="50">
      <calculatedColumnFormula array="1">AVERAGE(IF(Params[Const.Time], INDIRECT("Params["&amp;Table3[[#This Row],[Variable]]&amp;"]"), ""))</calculatedColumnFormula>
    </tableColumn>
    <tableColumn id="3" name="SD" dataDxfId="49">
      <calculatedColumnFormula array="1">STDEV(IF(Params[Const.Time], INDIRECT("Params["&amp;Table3[[#This Row],[Variable]]&amp;"]"), ""))</calculatedColumnFormula>
    </tableColumn>
    <tableColumn id="4" name="CV" dataDxfId="48">
      <calculatedColumnFormula>Table3[[#This Row],[SD]]/Table3[[#This Row],[Mean]]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E14" totalsRowShown="0" headerRowDxfId="47">
  <autoFilter ref="A1:E14"/>
  <sortState ref="A2:E14">
    <sortCondition descending="1" ref="B1:B14"/>
  </sortState>
  <tableColumns count="5">
    <tableColumn id="1" name="Activity" dataDxfId="46"/>
    <tableColumn id="5" name="Count" dataDxfId="45">
      <calculatedColumnFormula>COUNTIFS(Refs[Impulse],Table5[Activity],Refs[Relevant],1)</calculatedColumnFormula>
    </tableColumn>
    <tableColumn id="2" name="Included">
      <calculatedColumnFormula>COUNTIFS(Refs[Impulse],Table5[Activity],Refs[Rows],"&gt;0",Refs[Include],1)</calculatedColumnFormula>
    </tableColumn>
    <tableColumn id="3" name="Group">
      <calculatedColumnFormula>COUNTIFS(Refs[Impulse],Table5[Activity],Refs[Rows],1,Refs[Include],1)</calculatedColumnFormula>
    </tableColumn>
    <tableColumn id="4" name="Individual">
      <calculatedColumnFormula>COUNTIFS(Refs[Impulse],Table5[Activity],Refs[Rows],"&gt;1",Refs[Include],1)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8:B22" totalsRowShown="0" headerRowDxfId="44">
  <autoFilter ref="A18:B22"/>
  <sortState ref="A19:B22">
    <sortCondition descending="1" ref="B18:B22"/>
  </sortState>
  <tableColumns count="2">
    <tableColumn id="1" name="Response"/>
    <tableColumn id="2" name="Count" dataDxfId="43">
      <calculatedColumnFormula>COUNTIFS(Refs[Response],Table6[Response],Refs[Relevant],1)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4" name="Table4" displayName="Table4" ref="A1:M15" totalsRowShown="0">
  <autoFilter ref="A1:M15"/>
  <tableColumns count="13">
    <tableColumn id="1" name="T"/>
    <tableColumn id="2" name="t1"/>
    <tableColumn id="3" name="t1b"/>
    <tableColumn id="4" name="t1SD">
      <calculatedColumnFormula>C2-B2</calculatedColumnFormula>
    </tableColumn>
    <tableColumn id="5" name="t2"/>
    <tableColumn id="6" name="t2b"/>
    <tableColumn id="7" name="t2D">
      <calculatedColumnFormula>F2-E2</calculatedColumnFormula>
    </tableColumn>
    <tableColumn id="8" name="k1"/>
    <tableColumn id="9" name="k1b"/>
    <tableColumn id="10" name="k1SD">
      <calculatedColumnFormula>I2-H2</calculatedColumnFormula>
    </tableColumn>
    <tableColumn id="11" name="k2"/>
    <tableColumn id="12" name="k2b"/>
    <tableColumn id="13" name="k2SD">
      <calculatedColumnFormula>L2-K2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-0.249977111117893"/>
  </sheetPr>
  <dimension ref="A1:T39"/>
  <sheetViews>
    <sheetView showGridLines="0" workbookViewId="0">
      <selection activeCell="A6" sqref="A6"/>
    </sheetView>
  </sheetViews>
  <sheetFormatPr defaultRowHeight="15" x14ac:dyDescent="0.25"/>
  <cols>
    <col min="1" max="1" width="14.42578125" style="6" customWidth="1"/>
    <col min="2" max="2" width="63.5703125" style="7" customWidth="1"/>
    <col min="3" max="3" width="27.28515625" style="24" customWidth="1"/>
    <col min="4" max="4" width="23.7109375" style="7" customWidth="1"/>
    <col min="5" max="5" width="13.28515625" style="6" bestFit="1" customWidth="1"/>
    <col min="6" max="6" width="13.28515625" style="6" customWidth="1"/>
    <col min="7" max="8" width="14.28515625" style="6" customWidth="1"/>
    <col min="9" max="10" width="14.28515625" style="9" customWidth="1"/>
    <col min="11" max="11" width="23.42578125" style="9" customWidth="1"/>
    <col min="12" max="12" width="14.28515625" style="6" customWidth="1"/>
    <col min="13" max="13" width="32.5703125" style="6" customWidth="1"/>
    <col min="14" max="14" width="4.7109375" style="6" customWidth="1"/>
    <col min="15" max="16" width="4.7109375" style="7" customWidth="1"/>
    <col min="17" max="17" width="3.5703125" style="6" customWidth="1"/>
    <col min="18" max="18" width="48" style="6" customWidth="1"/>
    <col min="19" max="16384" width="9.140625" style="6"/>
  </cols>
  <sheetData>
    <row r="1" spans="1:18" s="13" customFormat="1" ht="46.5" x14ac:dyDescent="0.25">
      <c r="A1" s="13" t="s">
        <v>0</v>
      </c>
      <c r="B1" s="5" t="s">
        <v>1</v>
      </c>
      <c r="C1" s="25" t="s">
        <v>317</v>
      </c>
      <c r="D1" s="5" t="s">
        <v>347</v>
      </c>
      <c r="E1" s="5" t="s">
        <v>262</v>
      </c>
      <c r="F1" s="5" t="s">
        <v>280</v>
      </c>
      <c r="G1" s="13" t="s">
        <v>263</v>
      </c>
      <c r="H1" s="13" t="s">
        <v>271</v>
      </c>
      <c r="I1" s="4" t="s">
        <v>270</v>
      </c>
      <c r="J1" s="4" t="s">
        <v>269</v>
      </c>
      <c r="K1" s="4" t="s">
        <v>268</v>
      </c>
      <c r="L1" s="13" t="s">
        <v>273</v>
      </c>
      <c r="M1" s="13" t="s">
        <v>267</v>
      </c>
      <c r="N1" s="12" t="s">
        <v>23</v>
      </c>
      <c r="O1" s="12" t="s">
        <v>196</v>
      </c>
      <c r="P1" s="12" t="s">
        <v>28</v>
      </c>
      <c r="Q1" s="12" t="s">
        <v>261</v>
      </c>
      <c r="R1" s="5" t="s">
        <v>22</v>
      </c>
    </row>
    <row r="2" spans="1:18" ht="60" x14ac:dyDescent="0.25">
      <c r="A2" s="6" t="s">
        <v>124</v>
      </c>
      <c r="B2" s="7" t="s">
        <v>123</v>
      </c>
      <c r="C2" s="24" t="s">
        <v>322</v>
      </c>
      <c r="E2" s="7" t="s">
        <v>142</v>
      </c>
      <c r="F2" s="7"/>
      <c r="G2" s="6" t="s">
        <v>168</v>
      </c>
      <c r="K2" s="22"/>
      <c r="N2" s="8">
        <f>COUNTIF(Params[Reference],Refs[[#This Row],[ID]])</f>
        <v>0</v>
      </c>
      <c r="O2" s="8">
        <f>SUMIFS(Params[N],Params[Reference],Refs[[#This Row],[ID]])</f>
        <v>0</v>
      </c>
      <c r="P2" s="6"/>
      <c r="Q2" s="6">
        <v>1</v>
      </c>
      <c r="R2" s="7" t="s">
        <v>85</v>
      </c>
    </row>
    <row r="3" spans="1:18" ht="60" x14ac:dyDescent="0.25">
      <c r="A3" s="6" t="s">
        <v>87</v>
      </c>
      <c r="B3" s="7" t="s">
        <v>86</v>
      </c>
      <c r="C3" s="24" t="s">
        <v>323</v>
      </c>
      <c r="E3" s="7" t="s">
        <v>142</v>
      </c>
      <c r="F3" s="7"/>
      <c r="G3" s="6" t="s">
        <v>203</v>
      </c>
      <c r="K3" s="22"/>
      <c r="N3" s="8">
        <f>COUNTIF(Params[Reference],Refs[[#This Row],[ID]])</f>
        <v>0</v>
      </c>
      <c r="O3" s="8">
        <f>SUMIFS(Params[N],Params[Reference],Refs[[#This Row],[ID]])</f>
        <v>0</v>
      </c>
      <c r="P3" s="6">
        <v>0</v>
      </c>
      <c r="Q3" s="6">
        <v>1</v>
      </c>
      <c r="R3" s="7" t="s">
        <v>85</v>
      </c>
    </row>
    <row r="4" spans="1:18" ht="67.5" x14ac:dyDescent="0.25">
      <c r="A4" s="6" t="s">
        <v>25</v>
      </c>
      <c r="B4" s="7" t="s">
        <v>24</v>
      </c>
      <c r="C4" s="24" t="s">
        <v>346</v>
      </c>
      <c r="D4" s="7" t="s">
        <v>348</v>
      </c>
      <c r="E4" s="7" t="s">
        <v>142</v>
      </c>
      <c r="F4" s="7"/>
      <c r="G4" s="6" t="s">
        <v>204</v>
      </c>
      <c r="K4" s="22"/>
      <c r="N4" s="8">
        <f>COUNTIF(Params[Reference],Refs[[#This Row],[ID]])</f>
        <v>1</v>
      </c>
      <c r="O4" s="8">
        <f>SUMIFS(Params[N],Params[Reference],Refs[[#This Row],[ID]])</f>
        <v>6</v>
      </c>
      <c r="P4" s="6">
        <v>1</v>
      </c>
      <c r="Q4" s="6">
        <v>1</v>
      </c>
      <c r="R4" s="7" t="s">
        <v>27</v>
      </c>
    </row>
    <row r="5" spans="1:18" ht="60" x14ac:dyDescent="0.25">
      <c r="A5" s="6" t="s">
        <v>31</v>
      </c>
      <c r="B5" s="7" t="s">
        <v>30</v>
      </c>
      <c r="C5" s="24" t="s">
        <v>352</v>
      </c>
      <c r="D5" s="7" t="s">
        <v>348</v>
      </c>
      <c r="E5" s="7" t="s">
        <v>142</v>
      </c>
      <c r="F5" s="7"/>
      <c r="G5" s="6" t="s">
        <v>128</v>
      </c>
      <c r="K5" s="22"/>
      <c r="N5" s="8">
        <f>COUNTIF(Params[Reference],Refs[[#This Row],[ID]])</f>
        <v>8</v>
      </c>
      <c r="O5" s="8">
        <f>SUMIFS(Params[N],Params[Reference],Refs[[#This Row],[ID]])</f>
        <v>8</v>
      </c>
      <c r="P5" s="6">
        <v>0</v>
      </c>
      <c r="Q5" s="6">
        <v>1</v>
      </c>
      <c r="R5" s="7" t="s">
        <v>260</v>
      </c>
    </row>
    <row r="6" spans="1:18" ht="60" x14ac:dyDescent="0.25">
      <c r="A6" s="6" t="s">
        <v>32</v>
      </c>
      <c r="B6" s="7" t="s">
        <v>30</v>
      </c>
      <c r="C6" s="24" t="s">
        <v>324</v>
      </c>
      <c r="E6" s="7" t="s">
        <v>142</v>
      </c>
      <c r="F6" s="7"/>
      <c r="G6" s="6" t="s">
        <v>128</v>
      </c>
      <c r="K6" s="22"/>
      <c r="N6" s="8">
        <f>COUNTIF(Params[Reference],Refs[[#This Row],[ID]])</f>
        <v>8</v>
      </c>
      <c r="O6" s="8">
        <f>SUMIFS(Params[N],Params[Reference],Refs[[#This Row],[ID]])</f>
        <v>8</v>
      </c>
      <c r="P6" s="6">
        <v>1</v>
      </c>
      <c r="Q6" s="6">
        <v>1</v>
      </c>
      <c r="R6" s="7" t="s">
        <v>29</v>
      </c>
    </row>
    <row r="7" spans="1:18" ht="60" x14ac:dyDescent="0.25">
      <c r="A7" s="6" t="s">
        <v>119</v>
      </c>
      <c r="B7" s="7" t="s">
        <v>118</v>
      </c>
      <c r="C7" s="24" t="s">
        <v>325</v>
      </c>
      <c r="D7" s="7" t="s">
        <v>348</v>
      </c>
      <c r="E7" s="7" t="s">
        <v>142</v>
      </c>
      <c r="F7" s="7"/>
      <c r="G7" s="6" t="s">
        <v>120</v>
      </c>
      <c r="H7" s="6" t="s">
        <v>272</v>
      </c>
      <c r="I7" s="9">
        <f>AVERAGEIF(Params[Reference],Refs[[#This Row],[ID]],Params[Duration])</f>
        <v>259</v>
      </c>
      <c r="J7" s="9">
        <f>AVERAGEIF(Params[Reference],Refs[[#This Row],[ID]],Params[Performances])</f>
        <v>19</v>
      </c>
      <c r="K7" s="22" t="s">
        <v>286</v>
      </c>
      <c r="M7" s="6" t="s">
        <v>292</v>
      </c>
      <c r="N7" s="8">
        <f>COUNTIF(Params[Reference],Refs[[#This Row],[ID]])</f>
        <v>1</v>
      </c>
      <c r="O7" s="8">
        <f>SUMIFS(Params[N],Params[Reference],Refs[[#This Row],[ID]])</f>
        <v>1</v>
      </c>
      <c r="P7" s="6">
        <v>1</v>
      </c>
      <c r="Q7" s="6">
        <v>1</v>
      </c>
      <c r="R7" s="7"/>
    </row>
    <row r="8" spans="1:18" ht="60" x14ac:dyDescent="0.25">
      <c r="A8" s="6" t="s">
        <v>37</v>
      </c>
      <c r="B8" s="7" t="s">
        <v>36</v>
      </c>
      <c r="C8" s="24" t="s">
        <v>327</v>
      </c>
      <c r="D8" s="7" t="s">
        <v>348</v>
      </c>
      <c r="E8" s="7" t="s">
        <v>142</v>
      </c>
      <c r="F8" s="7"/>
      <c r="G8" s="6" t="s">
        <v>128</v>
      </c>
      <c r="K8" s="22"/>
      <c r="N8" s="8">
        <f>COUNTIF(Params[Reference],Refs[[#This Row],[ID]])</f>
        <v>2</v>
      </c>
      <c r="O8" s="8">
        <f>SUMIFS(Params[N],Params[Reference],Refs[[#This Row],[ID]])</f>
        <v>2</v>
      </c>
      <c r="P8" s="6">
        <v>1</v>
      </c>
      <c r="Q8" s="6">
        <v>1</v>
      </c>
      <c r="R8" s="7" t="s">
        <v>40</v>
      </c>
    </row>
    <row r="9" spans="1:18" ht="60" x14ac:dyDescent="0.25">
      <c r="A9" s="6" t="s">
        <v>126</v>
      </c>
      <c r="B9" s="7" t="s">
        <v>125</v>
      </c>
      <c r="C9" s="24" t="s">
        <v>326</v>
      </c>
      <c r="D9" s="7" t="s">
        <v>348</v>
      </c>
      <c r="E9" s="7" t="s">
        <v>142</v>
      </c>
      <c r="F9" s="7" t="s">
        <v>282</v>
      </c>
      <c r="G9" s="6" t="s">
        <v>128</v>
      </c>
      <c r="H9" s="6" t="s">
        <v>272</v>
      </c>
      <c r="I9" s="9">
        <f>7*15</f>
        <v>105</v>
      </c>
      <c r="J9" s="9" t="s">
        <v>276</v>
      </c>
      <c r="K9" s="22"/>
      <c r="L9" s="6" t="s">
        <v>274</v>
      </c>
      <c r="M9" s="6" t="s">
        <v>275</v>
      </c>
      <c r="N9" s="8">
        <f>COUNTIF(Params[Reference],Refs[[#This Row],[ID]])</f>
        <v>7</v>
      </c>
      <c r="O9" s="8">
        <f>SUMIFS(Params[N],Params[Reference],Refs[[#This Row],[ID]])</f>
        <v>12</v>
      </c>
      <c r="P9" s="6">
        <v>1</v>
      </c>
      <c r="Q9" s="6">
        <v>1</v>
      </c>
      <c r="R9" s="7" t="s">
        <v>127</v>
      </c>
    </row>
    <row r="10" spans="1:18" ht="60" x14ac:dyDescent="0.25">
      <c r="A10" s="6" t="s">
        <v>155</v>
      </c>
      <c r="B10" s="7" t="s">
        <v>154</v>
      </c>
      <c r="C10" s="24" t="s">
        <v>328</v>
      </c>
      <c r="D10" s="7" t="s">
        <v>348</v>
      </c>
      <c r="E10" s="7" t="s">
        <v>142</v>
      </c>
      <c r="F10" s="7" t="s">
        <v>282</v>
      </c>
      <c r="G10" s="6" t="s">
        <v>128</v>
      </c>
      <c r="H10" s="6" t="s">
        <v>272</v>
      </c>
      <c r="I10" s="9">
        <f>7*15</f>
        <v>105</v>
      </c>
      <c r="J10" s="9" t="s">
        <v>276</v>
      </c>
      <c r="K10" s="22"/>
      <c r="L10" s="6" t="s">
        <v>274</v>
      </c>
      <c r="M10" s="6" t="s">
        <v>275</v>
      </c>
      <c r="N10" s="8">
        <f>COUNTIF(Params[Reference],Refs[[#This Row],[ID]])</f>
        <v>3</v>
      </c>
      <c r="O10" s="8">
        <f>SUMIFS(Params[N],Params[Reference],Refs[[#This Row],[ID]])</f>
        <v>8</v>
      </c>
      <c r="P10" s="6"/>
      <c r="Q10" s="6">
        <v>1</v>
      </c>
      <c r="R10" s="7" t="s">
        <v>277</v>
      </c>
    </row>
    <row r="11" spans="1:18" ht="45" x14ac:dyDescent="0.25">
      <c r="A11" s="6" t="s">
        <v>113</v>
      </c>
      <c r="B11" s="7" t="s">
        <v>111</v>
      </c>
      <c r="C11" s="24" t="s">
        <v>329</v>
      </c>
      <c r="E11" s="7" t="s">
        <v>142</v>
      </c>
      <c r="F11" s="7"/>
      <c r="G11" s="6" t="s">
        <v>116</v>
      </c>
      <c r="K11" s="22"/>
      <c r="N11" s="8">
        <f>COUNTIF(Params[Reference],Refs[[#This Row],[ID]])</f>
        <v>0</v>
      </c>
      <c r="O11" s="8">
        <f>SUMIFS(Params[N],Params[Reference],Refs[[#This Row],[ID]])</f>
        <v>0</v>
      </c>
      <c r="P11" s="6">
        <v>0</v>
      </c>
      <c r="Q11" s="6">
        <v>1</v>
      </c>
      <c r="R11" s="7" t="s">
        <v>112</v>
      </c>
    </row>
    <row r="12" spans="1:18" ht="75" x14ac:dyDescent="0.25">
      <c r="A12" s="6" t="s">
        <v>84</v>
      </c>
      <c r="B12" s="7" t="s">
        <v>83</v>
      </c>
      <c r="C12" s="24" t="s">
        <v>330</v>
      </c>
      <c r="E12" s="7" t="s">
        <v>142</v>
      </c>
      <c r="F12" s="7"/>
      <c r="G12" s="6" t="s">
        <v>205</v>
      </c>
      <c r="K12" s="22"/>
      <c r="N12" s="8">
        <f>COUNTIF(Params[Reference],Refs[[#This Row],[ID]])</f>
        <v>0</v>
      </c>
      <c r="O12" s="8">
        <f>SUMIFS(Params[N],Params[Reference],Refs[[#This Row],[ID]])</f>
        <v>0</v>
      </c>
      <c r="P12" s="6">
        <v>0</v>
      </c>
      <c r="Q12" s="6">
        <v>1</v>
      </c>
      <c r="R12" s="7" t="s">
        <v>85</v>
      </c>
    </row>
    <row r="13" spans="1:18" ht="75" x14ac:dyDescent="0.25">
      <c r="A13" s="6" t="s">
        <v>188</v>
      </c>
      <c r="B13" s="7" t="s">
        <v>187</v>
      </c>
      <c r="C13" s="24" t="s">
        <v>331</v>
      </c>
      <c r="D13" s="7" t="s">
        <v>348</v>
      </c>
      <c r="E13" s="7" t="s">
        <v>142</v>
      </c>
      <c r="F13" s="7"/>
      <c r="G13" s="6" t="s">
        <v>116</v>
      </c>
      <c r="H13" s="6" t="s">
        <v>293</v>
      </c>
      <c r="I13" s="9">
        <f>AVERAGEIF(Params[Reference],Refs[[#This Row],[ID]],Params[Duration])</f>
        <v>210</v>
      </c>
      <c r="J13" s="9">
        <f>AVERAGEIF(Params[Reference],Refs[[#This Row],[ID]],Params[Performances])</f>
        <v>30</v>
      </c>
      <c r="K13" s="22"/>
      <c r="M13" s="6" t="s">
        <v>295</v>
      </c>
      <c r="N13" s="8">
        <f>COUNTIF(Params[Reference],Refs[[#This Row],[ID]])</f>
        <v>2</v>
      </c>
      <c r="O13" s="8">
        <f>SUMIFS(Params[N],Params[Reference],Refs[[#This Row],[ID]])</f>
        <v>10</v>
      </c>
      <c r="P13" s="6"/>
      <c r="Q13" s="6">
        <v>1</v>
      </c>
      <c r="R13" s="7" t="s">
        <v>294</v>
      </c>
    </row>
    <row r="14" spans="1:18" ht="75" x14ac:dyDescent="0.25">
      <c r="A14" s="6" t="s">
        <v>76</v>
      </c>
      <c r="B14" s="7" t="s">
        <v>75</v>
      </c>
      <c r="C14" s="24" t="s">
        <v>331</v>
      </c>
      <c r="D14" s="7" t="s">
        <v>348</v>
      </c>
      <c r="E14" s="7" t="s">
        <v>265</v>
      </c>
      <c r="F14" s="7"/>
      <c r="G14" s="6" t="s">
        <v>116</v>
      </c>
      <c r="K14" s="22"/>
      <c r="N14" s="8">
        <f>COUNTIF(Params[Reference],Refs[[#This Row],[ID]])</f>
        <v>2</v>
      </c>
      <c r="O14" s="8">
        <f>SUMIFS(Params[N],Params[Reference],Refs[[#This Row],[ID]])</f>
        <v>10</v>
      </c>
      <c r="P14" s="6">
        <v>1</v>
      </c>
      <c r="Q14" s="6">
        <v>1</v>
      </c>
      <c r="R14" s="7" t="s">
        <v>79</v>
      </c>
    </row>
    <row r="15" spans="1:18" ht="60" x14ac:dyDescent="0.25">
      <c r="A15" s="6" t="s">
        <v>117</v>
      </c>
      <c r="B15" s="7" t="s">
        <v>114</v>
      </c>
      <c r="C15" s="24" t="s">
        <v>332</v>
      </c>
      <c r="D15" s="7" t="s">
        <v>348</v>
      </c>
      <c r="E15" s="7" t="s">
        <v>142</v>
      </c>
      <c r="F15" s="7"/>
      <c r="G15" s="6" t="s">
        <v>116</v>
      </c>
      <c r="H15" s="6" t="s">
        <v>296</v>
      </c>
      <c r="I15" s="9">
        <f>AVERAGEIF(Params[Reference],Refs[[#This Row],[ID]],Params[Duration])</f>
        <v>195</v>
      </c>
      <c r="J15" s="9">
        <f>AVERAGEIF(Params[Reference],Refs[[#This Row],[ID]],Params[Performances])</f>
        <v>48.857142857142854</v>
      </c>
      <c r="K15" s="22"/>
      <c r="L15" s="6" t="s">
        <v>297</v>
      </c>
      <c r="M15" s="6" t="s">
        <v>298</v>
      </c>
      <c r="N15" s="8">
        <f>COUNTIF(Params[Reference],Refs[[#This Row],[ID]])</f>
        <v>7</v>
      </c>
      <c r="O15" s="8">
        <f>SUMIFS(Params[N],Params[Reference],Refs[[#This Row],[ID]])</f>
        <v>7</v>
      </c>
      <c r="P15" s="6">
        <v>1</v>
      </c>
      <c r="Q15" s="6">
        <v>1</v>
      </c>
      <c r="R15" s="7" t="s">
        <v>305</v>
      </c>
    </row>
    <row r="16" spans="1:18" ht="67.5" x14ac:dyDescent="0.25">
      <c r="A16" s="6" t="s">
        <v>174</v>
      </c>
      <c r="B16" s="7" t="s">
        <v>173</v>
      </c>
      <c r="C16" s="24" t="s">
        <v>333</v>
      </c>
      <c r="D16" s="7" t="s">
        <v>348</v>
      </c>
      <c r="E16" s="7" t="s">
        <v>142</v>
      </c>
      <c r="F16" s="7"/>
      <c r="G16" s="6" t="s">
        <v>116</v>
      </c>
      <c r="H16" s="6" t="s">
        <v>299</v>
      </c>
      <c r="I16" s="9">
        <f>AVERAGEIF(Params[Reference],Refs[[#This Row],[ID]],Params[Duration])</f>
        <v>420</v>
      </c>
      <c r="J16" s="9">
        <f>AVERAGEIF(Params[Reference],Refs[[#This Row],[ID]],Params[Performances])</f>
        <v>13.777777777777779</v>
      </c>
      <c r="K16" s="22"/>
      <c r="L16" s="6" t="s">
        <v>297</v>
      </c>
      <c r="M16" s="6" t="s">
        <v>298</v>
      </c>
      <c r="N16" s="8">
        <f>COUNTIF(Params[Reference],Refs[[#This Row],[ID]])</f>
        <v>9</v>
      </c>
      <c r="O16" s="8">
        <f>SUMIFS(Params[N],Params[Reference],Refs[[#This Row],[ID]])</f>
        <v>9</v>
      </c>
      <c r="P16" s="6"/>
      <c r="Q16" s="6">
        <v>1</v>
      </c>
      <c r="R16" s="7" t="s">
        <v>306</v>
      </c>
    </row>
    <row r="17" spans="1:20" ht="75" x14ac:dyDescent="0.25">
      <c r="A17" s="6" t="s">
        <v>122</v>
      </c>
      <c r="B17" s="7" t="s">
        <v>121</v>
      </c>
      <c r="C17" s="24" t="s">
        <v>336</v>
      </c>
      <c r="D17" s="7" t="s">
        <v>348</v>
      </c>
      <c r="E17" s="7" t="s">
        <v>264</v>
      </c>
      <c r="F17" s="7"/>
      <c r="G17" s="6" t="s">
        <v>185</v>
      </c>
      <c r="I17" s="9">
        <f>AVERAGEIF(Params[Reference],Refs[[#This Row],[ID]],Params[Duration])</f>
        <v>98</v>
      </c>
      <c r="J17" s="9">
        <f>AVERAGEIF(Params[Reference],Refs[[#This Row],[ID]],Params[Performances])</f>
        <v>20</v>
      </c>
      <c r="K17" s="22" t="s">
        <v>286</v>
      </c>
      <c r="M17" s="6" t="s">
        <v>307</v>
      </c>
      <c r="N17" s="8">
        <f>COUNTIF(Params[Reference],Refs[[#This Row],[ID]])</f>
        <v>1</v>
      </c>
      <c r="O17" s="8">
        <f>SUMIFS(Params[N],Params[Reference],Refs[[#This Row],[ID]])</f>
        <v>1</v>
      </c>
      <c r="P17" s="6"/>
      <c r="Q17" s="6">
        <v>1</v>
      </c>
      <c r="R17" s="7" t="s">
        <v>186</v>
      </c>
    </row>
    <row r="18" spans="1:20" ht="75" x14ac:dyDescent="0.25">
      <c r="A18" s="6" t="s">
        <v>42</v>
      </c>
      <c r="B18" s="7" t="s">
        <v>41</v>
      </c>
      <c r="C18" s="24" t="s">
        <v>336</v>
      </c>
      <c r="D18" s="7" t="s">
        <v>348</v>
      </c>
      <c r="E18" s="7" t="s">
        <v>264</v>
      </c>
      <c r="F18" s="7"/>
      <c r="G18" s="6" t="s">
        <v>185</v>
      </c>
      <c r="K18" s="22"/>
      <c r="M18" s="6" t="s">
        <v>307</v>
      </c>
      <c r="N18" s="8">
        <f>COUNTIF(Params[Reference],Refs[[#This Row],[ID]])</f>
        <v>0</v>
      </c>
      <c r="O18" s="8">
        <f>SUMIFS(Params[N],Params[Reference],Refs[[#This Row],[ID]])</f>
        <v>0</v>
      </c>
      <c r="P18" s="6">
        <v>1</v>
      </c>
      <c r="Q18" s="6">
        <v>1</v>
      </c>
      <c r="R18" s="7" t="s">
        <v>186</v>
      </c>
    </row>
    <row r="19" spans="1:20" ht="75" x14ac:dyDescent="0.25">
      <c r="A19" s="6" t="s">
        <v>167</v>
      </c>
      <c r="B19" s="7" t="s">
        <v>166</v>
      </c>
      <c r="C19" s="24" t="s">
        <v>335</v>
      </c>
      <c r="D19" s="7" t="s">
        <v>349</v>
      </c>
      <c r="E19" s="7" t="s">
        <v>142</v>
      </c>
      <c r="F19" s="7"/>
      <c r="G19" s="6" t="s">
        <v>168</v>
      </c>
      <c r="K19" s="22"/>
      <c r="N19" s="8">
        <f>COUNTIF(Params[Reference],Refs[[#This Row],[ID]])</f>
        <v>0</v>
      </c>
      <c r="O19" s="8">
        <f>SUMIFS(Params[N],Params[Reference],Refs[[#This Row],[ID]])</f>
        <v>0</v>
      </c>
      <c r="P19" s="6"/>
      <c r="Q19" s="6">
        <v>1</v>
      </c>
      <c r="R19" s="7" t="s">
        <v>169</v>
      </c>
    </row>
    <row r="20" spans="1:20" ht="75" x14ac:dyDescent="0.25">
      <c r="A20" s="6" t="s">
        <v>103</v>
      </c>
      <c r="B20" s="7" t="s">
        <v>102</v>
      </c>
      <c r="C20" s="24" t="s">
        <v>318</v>
      </c>
      <c r="D20" s="7" t="s">
        <v>350</v>
      </c>
      <c r="E20" s="7" t="s">
        <v>142</v>
      </c>
      <c r="F20" s="7"/>
      <c r="G20" s="6" t="s">
        <v>116</v>
      </c>
      <c r="H20" s="6" t="s">
        <v>304</v>
      </c>
      <c r="K20" s="22"/>
      <c r="N20" s="8">
        <f>COUNTIF(Params[Reference],Refs[[#This Row],[ID]])</f>
        <v>1</v>
      </c>
      <c r="O20" s="8">
        <f>SUMIFS(Params[N],Params[Reference],Refs[[#This Row],[ID]])</f>
        <v>15</v>
      </c>
      <c r="P20" s="6">
        <v>1</v>
      </c>
      <c r="Q20" s="6">
        <v>1</v>
      </c>
      <c r="R20" s="7" t="s">
        <v>104</v>
      </c>
      <c r="T20" s="6" t="s">
        <v>321</v>
      </c>
    </row>
    <row r="21" spans="1:20" ht="60" x14ac:dyDescent="0.25">
      <c r="A21" s="6" t="s">
        <v>88</v>
      </c>
      <c r="B21" s="7" t="s">
        <v>89</v>
      </c>
      <c r="C21" s="24" t="s">
        <v>336</v>
      </c>
      <c r="D21" s="7" t="s">
        <v>348</v>
      </c>
      <c r="E21" s="7" t="s">
        <v>206</v>
      </c>
      <c r="F21" s="7"/>
      <c r="G21" s="6" t="s">
        <v>203</v>
      </c>
      <c r="K21" s="22"/>
      <c r="N21" s="8">
        <f>COUNTIF(Params[Reference],Refs[[#This Row],[ID]])</f>
        <v>2</v>
      </c>
      <c r="O21" s="8">
        <f>SUMIFS(Params[N],Params[Reference],Refs[[#This Row],[ID]])</f>
        <v>2</v>
      </c>
      <c r="P21" s="6">
        <v>1</v>
      </c>
      <c r="Q21" s="6">
        <v>1</v>
      </c>
      <c r="R21" s="7" t="s">
        <v>96</v>
      </c>
      <c r="T21" s="6" t="s">
        <v>320</v>
      </c>
    </row>
    <row r="22" spans="1:20" ht="75" x14ac:dyDescent="0.25">
      <c r="A22" s="6" t="s">
        <v>73</v>
      </c>
      <c r="B22" s="7" t="s">
        <v>72</v>
      </c>
      <c r="C22" s="24" t="s">
        <v>337</v>
      </c>
      <c r="E22" s="7" t="s">
        <v>142</v>
      </c>
      <c r="F22" s="7"/>
      <c r="G22" s="6" t="s">
        <v>116</v>
      </c>
      <c r="K22" s="22"/>
      <c r="N22" s="8">
        <f>COUNTIF(Params[Reference],Refs[[#This Row],[ID]])</f>
        <v>0</v>
      </c>
      <c r="O22" s="8">
        <f>SUMIFS(Params[N],Params[Reference],Refs[[#This Row],[ID]])</f>
        <v>0</v>
      </c>
      <c r="P22" s="6">
        <v>0</v>
      </c>
      <c r="Q22" s="6">
        <v>0</v>
      </c>
      <c r="R22" s="7" t="s">
        <v>74</v>
      </c>
      <c r="T22" s="6" t="s">
        <v>319</v>
      </c>
    </row>
    <row r="23" spans="1:20" ht="105" x14ac:dyDescent="0.25">
      <c r="A23" s="6" t="s">
        <v>62</v>
      </c>
      <c r="B23" s="7" t="s">
        <v>61</v>
      </c>
      <c r="C23" s="24" t="s">
        <v>336</v>
      </c>
      <c r="D23" s="7" t="s">
        <v>348</v>
      </c>
      <c r="E23" s="7" t="s">
        <v>142</v>
      </c>
      <c r="F23" s="7"/>
      <c r="G23" s="6" t="s">
        <v>309</v>
      </c>
      <c r="H23" s="6" t="s">
        <v>147</v>
      </c>
      <c r="K23" s="22" t="s">
        <v>311</v>
      </c>
      <c r="M23" s="6" t="s">
        <v>310</v>
      </c>
      <c r="N23" s="8">
        <f>COUNTIF(Params[Reference],Refs[[#This Row],[ID]])</f>
        <v>6</v>
      </c>
      <c r="O23" s="8">
        <f>SUMIFS(Params[N],Params[Reference],Refs[[#This Row],[ID]])</f>
        <v>6</v>
      </c>
      <c r="P23" s="6">
        <v>1</v>
      </c>
      <c r="Q23" s="6">
        <v>1</v>
      </c>
      <c r="R23" s="7" t="s">
        <v>308</v>
      </c>
    </row>
    <row r="24" spans="1:20" ht="45" x14ac:dyDescent="0.25">
      <c r="A24" s="6" t="s">
        <v>3</v>
      </c>
      <c r="B24" s="7" t="s">
        <v>2</v>
      </c>
      <c r="C24" s="24" t="s">
        <v>338</v>
      </c>
      <c r="D24" s="7" t="s">
        <v>348</v>
      </c>
      <c r="E24" s="7" t="s">
        <v>142</v>
      </c>
      <c r="F24" s="7"/>
      <c r="G24" s="6" t="s">
        <v>168</v>
      </c>
      <c r="H24" s="6" t="s">
        <v>272</v>
      </c>
      <c r="I24" s="9">
        <f>AVERAGEIF(Params[Reference],Refs[[#This Row],[ID]],Params[Duration])</f>
        <v>50</v>
      </c>
      <c r="J24" s="9">
        <f>AVERAGEIF(Params[Reference],Refs[[#This Row],[ID]],Params[Performances])</f>
        <v>21.5</v>
      </c>
      <c r="K24" s="22"/>
      <c r="L24" s="6" t="s">
        <v>302</v>
      </c>
      <c r="M24" s="6" t="s">
        <v>303</v>
      </c>
      <c r="N24" s="6">
        <f>COUNTIF(Params[Reference],Refs[[#This Row],[ID]])</f>
        <v>2</v>
      </c>
      <c r="O24" s="6">
        <f>SUMIFS(Params[N],Params[Reference],Refs[[#This Row],[ID]])</f>
        <v>2</v>
      </c>
      <c r="P24" s="6">
        <v>1</v>
      </c>
      <c r="Q24" s="6">
        <v>1</v>
      </c>
      <c r="R24" s="7" t="s">
        <v>301</v>
      </c>
    </row>
    <row r="25" spans="1:20" ht="60" x14ac:dyDescent="0.25">
      <c r="A25" s="6" t="s">
        <v>171</v>
      </c>
      <c r="B25" s="7" t="s">
        <v>170</v>
      </c>
      <c r="C25" s="24" t="s">
        <v>338</v>
      </c>
      <c r="D25" s="7" t="s">
        <v>348</v>
      </c>
      <c r="E25" s="7" t="s">
        <v>142</v>
      </c>
      <c r="F25" s="7"/>
      <c r="G25" s="6" t="s">
        <v>116</v>
      </c>
      <c r="K25" s="22"/>
      <c r="N25" s="8">
        <f>COUNTIF(Params[Reference],Refs[[#This Row],[ID]])</f>
        <v>1</v>
      </c>
      <c r="O25" s="8">
        <f>SUMIFS(Params[N],Params[Reference],Refs[[#This Row],[ID]])</f>
        <v>17</v>
      </c>
      <c r="P25" s="6"/>
      <c r="Q25" s="6">
        <v>1</v>
      </c>
      <c r="R25" s="7"/>
    </row>
    <row r="26" spans="1:20" ht="45" x14ac:dyDescent="0.25">
      <c r="A26" s="6" t="s">
        <v>44</v>
      </c>
      <c r="B26" s="7" t="s">
        <v>43</v>
      </c>
      <c r="C26" s="24" t="s">
        <v>339</v>
      </c>
      <c r="D26" s="7" t="s">
        <v>348</v>
      </c>
      <c r="E26" s="7" t="s">
        <v>142</v>
      </c>
      <c r="F26" s="7"/>
      <c r="G26" s="6" t="s">
        <v>128</v>
      </c>
      <c r="H26" s="6" t="s">
        <v>312</v>
      </c>
      <c r="K26" s="22"/>
      <c r="N26" s="8">
        <f>COUNTIF(Params[Reference],Refs[[#This Row],[ID]])</f>
        <v>15</v>
      </c>
      <c r="O26" s="8">
        <f>SUMIFS(Params[N],Params[Reference],Refs[[#This Row],[ID]])</f>
        <v>15</v>
      </c>
      <c r="P26" s="6">
        <v>1</v>
      </c>
      <c r="Q26" s="6">
        <v>1</v>
      </c>
      <c r="R26" s="7" t="s">
        <v>60</v>
      </c>
    </row>
    <row r="27" spans="1:20" ht="30" x14ac:dyDescent="0.25">
      <c r="A27" s="6" t="s">
        <v>98</v>
      </c>
      <c r="B27" s="7" t="s">
        <v>97</v>
      </c>
      <c r="E27" s="7"/>
      <c r="F27" s="7"/>
      <c r="K27" s="22"/>
      <c r="N27" s="8">
        <f>COUNTIF(Params[Reference],Refs[[#This Row],[ID]])</f>
        <v>0</v>
      </c>
      <c r="O27" s="8">
        <f>SUMIFS(Params[N],Params[Reference],Refs[[#This Row],[ID]])</f>
        <v>0</v>
      </c>
      <c r="P27" s="6">
        <v>0</v>
      </c>
      <c r="Q27" s="6">
        <v>0</v>
      </c>
      <c r="R27" s="7" t="s">
        <v>85</v>
      </c>
    </row>
    <row r="28" spans="1:20" ht="75" x14ac:dyDescent="0.25">
      <c r="A28" s="6" t="s">
        <v>176</v>
      </c>
      <c r="B28" s="7" t="s">
        <v>175</v>
      </c>
      <c r="C28" s="24" t="s">
        <v>334</v>
      </c>
      <c r="D28" s="7" t="s">
        <v>348</v>
      </c>
      <c r="E28" s="7" t="s">
        <v>142</v>
      </c>
      <c r="F28" s="7"/>
      <c r="G28" s="6" t="s">
        <v>177</v>
      </c>
      <c r="H28" s="6" t="s">
        <v>147</v>
      </c>
      <c r="I28" s="9">
        <f>AVERAGEIF(Params[Reference],Refs[[#This Row],[ID]],Params[Duration])</f>
        <v>85</v>
      </c>
      <c r="J28" s="9">
        <f>AVERAGEIF(Params[Reference],Refs[[#This Row],[ID]],Params[Performances])</f>
        <v>33</v>
      </c>
      <c r="K28" s="22" t="s">
        <v>287</v>
      </c>
      <c r="L28" s="6" t="s">
        <v>288</v>
      </c>
      <c r="M28" s="6" t="s">
        <v>289</v>
      </c>
      <c r="N28" s="8">
        <f>COUNTIF(Params[Reference],Refs[[#This Row],[ID]])</f>
        <v>1</v>
      </c>
      <c r="O28" s="8">
        <f>SUMIFS(Params[N],Params[Reference],Refs[[#This Row],[ID]])</f>
        <v>5</v>
      </c>
      <c r="P28" s="6"/>
      <c r="Q28" s="6">
        <v>1</v>
      </c>
      <c r="R28" s="7" t="s">
        <v>290</v>
      </c>
    </row>
    <row r="29" spans="1:20" ht="60" x14ac:dyDescent="0.25">
      <c r="A29" s="6" t="s">
        <v>278</v>
      </c>
      <c r="B29" s="7" t="s">
        <v>279</v>
      </c>
      <c r="C29" s="24" t="s">
        <v>353</v>
      </c>
      <c r="D29" s="7" t="s">
        <v>351</v>
      </c>
      <c r="E29" s="7" t="s">
        <v>142</v>
      </c>
      <c r="F29" s="7" t="s">
        <v>281</v>
      </c>
      <c r="G29" s="6" t="s">
        <v>153</v>
      </c>
      <c r="H29" s="6" t="s">
        <v>272</v>
      </c>
      <c r="I29" s="9">
        <f>AVERAGEIF(Params[Reference],Refs[[#This Row],[ID]],Params[Duration])</f>
        <v>298.7</v>
      </c>
      <c r="J29" s="9">
        <f>Refs[[#This Row],[Duration]]</f>
        <v>298.7</v>
      </c>
      <c r="K29" s="22" t="s">
        <v>286</v>
      </c>
      <c r="L29" s="6" t="s">
        <v>285</v>
      </c>
      <c r="M29" s="6" t="s">
        <v>284</v>
      </c>
      <c r="N29" s="6">
        <f>COUNTIF(Params[Reference],Refs[[#This Row],[ID]])</f>
        <v>10</v>
      </c>
      <c r="O29" s="6">
        <f>SUMIFS(Params[N],Params[Reference],Refs[[#This Row],[ID]])</f>
        <v>10</v>
      </c>
      <c r="P29" s="6">
        <v>1</v>
      </c>
      <c r="Q29" s="6">
        <v>1</v>
      </c>
      <c r="R29" s="7" t="s">
        <v>283</v>
      </c>
    </row>
    <row r="30" spans="1:20" ht="75" x14ac:dyDescent="0.25">
      <c r="A30" s="6" t="s">
        <v>81</v>
      </c>
      <c r="B30" s="7" t="s">
        <v>80</v>
      </c>
      <c r="C30" s="24" t="s">
        <v>340</v>
      </c>
      <c r="E30" s="20" t="s">
        <v>316</v>
      </c>
      <c r="F30" s="7" t="s">
        <v>316</v>
      </c>
      <c r="G30" s="6" t="s">
        <v>316</v>
      </c>
      <c r="H30" s="6" t="s">
        <v>316</v>
      </c>
      <c r="I30" s="9" t="s">
        <v>316</v>
      </c>
      <c r="J30" s="9" t="s">
        <v>316</v>
      </c>
      <c r="K30" s="22" t="s">
        <v>316</v>
      </c>
      <c r="L30" s="6" t="s">
        <v>316</v>
      </c>
      <c r="M30" s="6" t="s">
        <v>316</v>
      </c>
      <c r="N30" s="8">
        <f>COUNTIF(Params[Reference],Refs[[#This Row],[ID]])</f>
        <v>0</v>
      </c>
      <c r="O30" s="8">
        <f>SUMIFS(Params[N],Params[Reference],Refs[[#This Row],[ID]])</f>
        <v>0</v>
      </c>
      <c r="P30" s="6">
        <v>0</v>
      </c>
      <c r="Q30" s="6">
        <v>0</v>
      </c>
      <c r="R30" s="7" t="s">
        <v>82</v>
      </c>
    </row>
    <row r="31" spans="1:20" ht="75" x14ac:dyDescent="0.25">
      <c r="A31" s="6" t="s">
        <v>110</v>
      </c>
      <c r="B31" s="7" t="s">
        <v>109</v>
      </c>
      <c r="C31" s="24" t="s">
        <v>336</v>
      </c>
      <c r="D31" s="7" t="s">
        <v>348</v>
      </c>
      <c r="E31" s="7" t="s">
        <v>142</v>
      </c>
      <c r="F31" s="7" t="s">
        <v>316</v>
      </c>
      <c r="G31" s="6" t="s">
        <v>316</v>
      </c>
      <c r="H31" s="6" t="s">
        <v>316</v>
      </c>
      <c r="I31" s="9" t="s">
        <v>316</v>
      </c>
      <c r="J31" s="9" t="s">
        <v>316</v>
      </c>
      <c r="K31" s="22" t="s">
        <v>316</v>
      </c>
      <c r="L31" s="6" t="s">
        <v>316</v>
      </c>
      <c r="M31" s="6" t="s">
        <v>316</v>
      </c>
      <c r="N31" s="8">
        <f>COUNTIF(Params[Reference],Refs[[#This Row],[ID]])</f>
        <v>0</v>
      </c>
      <c r="O31" s="8">
        <f>SUMIFS(Params[N],Params[Reference],Refs[[#This Row],[ID]])</f>
        <v>0</v>
      </c>
      <c r="P31" s="6">
        <v>0</v>
      </c>
      <c r="Q31" s="6">
        <v>1</v>
      </c>
      <c r="R31" s="7" t="s">
        <v>85</v>
      </c>
    </row>
    <row r="32" spans="1:20" ht="75" x14ac:dyDescent="0.25">
      <c r="A32" s="6" t="s">
        <v>181</v>
      </c>
      <c r="B32" s="7" t="s">
        <v>180</v>
      </c>
      <c r="C32" s="24" t="s">
        <v>342</v>
      </c>
      <c r="D32" s="7" t="s">
        <v>348</v>
      </c>
      <c r="E32" s="7" t="s">
        <v>142</v>
      </c>
      <c r="F32" s="7"/>
      <c r="G32" s="6" t="s">
        <v>116</v>
      </c>
      <c r="K32" s="22"/>
      <c r="N32" s="8">
        <f>COUNTIF(Params[Reference],Refs[[#This Row],[ID]])</f>
        <v>2</v>
      </c>
      <c r="O32" s="8">
        <f>SUMIFS(Params[N],Params[Reference],Refs[[#This Row],[ID]])</f>
        <v>13</v>
      </c>
      <c r="P32" s="6"/>
      <c r="Q32" s="6">
        <v>1</v>
      </c>
      <c r="R32" s="7" t="s">
        <v>182</v>
      </c>
    </row>
    <row r="33" spans="1:18" ht="60" x14ac:dyDescent="0.25">
      <c r="A33" s="6" t="s">
        <v>190</v>
      </c>
      <c r="B33" s="23" t="s">
        <v>341</v>
      </c>
      <c r="C33" s="24" t="s">
        <v>334</v>
      </c>
      <c r="D33" s="7" t="s">
        <v>348</v>
      </c>
      <c r="E33" s="7" t="s">
        <v>142</v>
      </c>
      <c r="F33" s="7"/>
      <c r="G33" s="6" t="s">
        <v>116</v>
      </c>
      <c r="H33" s="6" t="s">
        <v>313</v>
      </c>
      <c r="I33" s="21">
        <f>AVERAGEIF(Params[Reference],Refs[[#This Row],[ID]],Params[Duration])</f>
        <v>730</v>
      </c>
      <c r="J33" s="9">
        <f>AVERAGEIF(Params[Reference],Refs[[#This Row],[ID]],Params[Performances])</f>
        <v>32</v>
      </c>
      <c r="K33" s="22" t="s">
        <v>315</v>
      </c>
      <c r="M33" s="6" t="s">
        <v>314</v>
      </c>
      <c r="N33" s="8">
        <f>COUNTIF(Params[Reference],Refs[[#This Row],[ID]])</f>
        <v>1</v>
      </c>
      <c r="O33" s="8">
        <f>SUMIFS(Params[N],Params[Reference],Refs[[#This Row],[ID]])</f>
        <v>8</v>
      </c>
      <c r="P33" s="6"/>
      <c r="R33" s="7"/>
    </row>
    <row r="34" spans="1:18" ht="60" x14ac:dyDescent="0.25">
      <c r="A34" s="6" t="s">
        <v>152</v>
      </c>
      <c r="B34" s="7" t="s">
        <v>151</v>
      </c>
      <c r="C34" s="24" t="s">
        <v>343</v>
      </c>
      <c r="D34" s="7" t="s">
        <v>350</v>
      </c>
      <c r="E34" s="7" t="s">
        <v>142</v>
      </c>
      <c r="F34" s="7"/>
      <c r="G34" s="6" t="s">
        <v>153</v>
      </c>
      <c r="I34" s="9">
        <f>AVERAGEIF(Params[Reference],Refs[[#This Row],[ID]],Params[Duration])</f>
        <v>532</v>
      </c>
      <c r="J34" s="9">
        <f>AVERAGEIF(Params[Reference],Refs[[#This Row],[ID]],Params[Performances])</f>
        <v>18</v>
      </c>
      <c r="K34" s="22" t="s">
        <v>286</v>
      </c>
      <c r="N34" s="8">
        <f>COUNTIF(Params[Reference],Refs[[#This Row],[ID]])</f>
        <v>1</v>
      </c>
      <c r="O34" s="8">
        <f>SUMIFS(Params[N],Params[Reference],Refs[[#This Row],[ID]])</f>
        <v>1</v>
      </c>
      <c r="P34" s="6">
        <v>1</v>
      </c>
      <c r="Q34" s="6">
        <v>1</v>
      </c>
      <c r="R34" s="7"/>
    </row>
    <row r="35" spans="1:18" ht="60" x14ac:dyDescent="0.25">
      <c r="A35" s="6" t="s">
        <v>159</v>
      </c>
      <c r="B35" s="7" t="s">
        <v>158</v>
      </c>
      <c r="C35" s="24" t="s">
        <v>345</v>
      </c>
      <c r="D35" s="7" t="s">
        <v>348</v>
      </c>
      <c r="E35" s="7" t="s">
        <v>316</v>
      </c>
      <c r="F35" s="7" t="s">
        <v>316</v>
      </c>
      <c r="G35" s="6" t="s">
        <v>316</v>
      </c>
      <c r="H35" s="6" t="s">
        <v>316</v>
      </c>
      <c r="I35" s="9" t="s">
        <v>316</v>
      </c>
      <c r="J35" s="9" t="s">
        <v>316</v>
      </c>
      <c r="K35" s="22" t="s">
        <v>316</v>
      </c>
      <c r="L35" s="6" t="s">
        <v>316</v>
      </c>
      <c r="M35" s="6" t="s">
        <v>316</v>
      </c>
      <c r="N35" s="8">
        <f>COUNTIF(Params[Reference],Refs[[#This Row],[ID]])</f>
        <v>0</v>
      </c>
      <c r="O35" s="8">
        <f>SUMIFS(Params[N],Params[Reference],Refs[[#This Row],[ID]])</f>
        <v>0</v>
      </c>
      <c r="P35" s="6"/>
      <c r="R35" s="7" t="s">
        <v>85</v>
      </c>
    </row>
    <row r="36" spans="1:18" ht="60" x14ac:dyDescent="0.25">
      <c r="A36" s="6" t="s">
        <v>161</v>
      </c>
      <c r="B36" s="7" t="s">
        <v>160</v>
      </c>
      <c r="C36" s="24" t="s">
        <v>344</v>
      </c>
      <c r="D36" s="7" t="s">
        <v>348</v>
      </c>
      <c r="E36" s="7" t="s">
        <v>265</v>
      </c>
      <c r="F36" s="7"/>
      <c r="G36" s="6" t="s">
        <v>197</v>
      </c>
      <c r="H36" s="6" t="s">
        <v>272</v>
      </c>
      <c r="I36" s="9">
        <f>AVERAGEIF(Params[Reference],Refs[[#This Row],[ID]],Params[Duration])</f>
        <v>56</v>
      </c>
      <c r="J36" s="9">
        <f>AVERAGEIF(Params[Reference],Refs[[#This Row],[ID]],Params[Performances])</f>
        <v>56</v>
      </c>
      <c r="K36" s="22" t="s">
        <v>286</v>
      </c>
      <c r="M36" s="6" t="s">
        <v>291</v>
      </c>
      <c r="N36" s="8">
        <f>COUNTIF(Params[Reference],Refs[[#This Row],[ID]])</f>
        <v>2</v>
      </c>
      <c r="O36" s="8">
        <f>SUMIFS(Params[N],Params[Reference],Refs[[#This Row],[ID]])</f>
        <v>8</v>
      </c>
      <c r="P36" s="6"/>
      <c r="Q36" s="6">
        <v>1</v>
      </c>
      <c r="R36" s="7"/>
    </row>
    <row r="37" spans="1:18" ht="60" x14ac:dyDescent="0.25">
      <c r="A37" s="6" t="s">
        <v>34</v>
      </c>
      <c r="B37" s="7" t="s">
        <v>33</v>
      </c>
      <c r="C37" s="24" t="s">
        <v>336</v>
      </c>
      <c r="D37" s="7" t="s">
        <v>348</v>
      </c>
      <c r="E37" s="7" t="s">
        <v>142</v>
      </c>
      <c r="F37" s="7"/>
      <c r="K37" s="22"/>
      <c r="N37" s="8">
        <f>COUNTIF(Params[Reference],Refs[[#This Row],[ID]])</f>
        <v>1</v>
      </c>
      <c r="O37" s="8">
        <f>SUMIFS(Params[N],Params[Reference],Refs[[#This Row],[ID]])</f>
        <v>0</v>
      </c>
      <c r="P37" s="6">
        <v>1</v>
      </c>
      <c r="Q37" s="6">
        <v>1</v>
      </c>
      <c r="R37" s="7" t="s">
        <v>35</v>
      </c>
    </row>
    <row r="38" spans="1:18" ht="45" x14ac:dyDescent="0.25">
      <c r="A38" s="6" t="s">
        <v>357</v>
      </c>
      <c r="B38" s="7" t="s">
        <v>359</v>
      </c>
      <c r="C38" s="26" t="s">
        <v>360</v>
      </c>
      <c r="D38" s="7" t="s">
        <v>348</v>
      </c>
      <c r="E38" s="7" t="s">
        <v>142</v>
      </c>
      <c r="F38" s="7" t="s">
        <v>361</v>
      </c>
      <c r="G38" s="6" t="s">
        <v>116</v>
      </c>
      <c r="H38" s="6" t="s">
        <v>147</v>
      </c>
      <c r="I38" s="21">
        <v>168</v>
      </c>
      <c r="J38" s="9">
        <v>7</v>
      </c>
      <c r="K38" s="22"/>
      <c r="M38" s="6" t="s">
        <v>362</v>
      </c>
      <c r="N38" s="8">
        <v>1</v>
      </c>
      <c r="O38" s="8">
        <v>1</v>
      </c>
      <c r="P38" s="7">
        <v>1</v>
      </c>
      <c r="Q38" s="6">
        <v>1</v>
      </c>
      <c r="R38" s="7" t="s">
        <v>363</v>
      </c>
    </row>
    <row r="39" spans="1:18" ht="60" x14ac:dyDescent="0.25">
      <c r="A39" s="6" t="s">
        <v>358</v>
      </c>
      <c r="B39" s="7" t="s">
        <v>364</v>
      </c>
      <c r="C39" s="26" t="s">
        <v>365</v>
      </c>
      <c r="D39" s="7" t="s">
        <v>348</v>
      </c>
      <c r="E39" s="7" t="s">
        <v>142</v>
      </c>
      <c r="F39" s="7" t="s">
        <v>366</v>
      </c>
      <c r="G39" s="6" t="s">
        <v>168</v>
      </c>
      <c r="H39" s="6" t="s">
        <v>272</v>
      </c>
      <c r="I39" s="21">
        <v>122</v>
      </c>
      <c r="J39" s="9">
        <v>16</v>
      </c>
      <c r="K39" s="22"/>
      <c r="M39" s="6" t="s">
        <v>367</v>
      </c>
      <c r="N39" s="8">
        <v>1</v>
      </c>
      <c r="O39" s="8">
        <v>1</v>
      </c>
      <c r="P39" s="7">
        <v>1</v>
      </c>
      <c r="Q39" s="6">
        <v>1</v>
      </c>
      <c r="R39" s="7" t="s">
        <v>363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 tint="-0.249977111117893"/>
  </sheetPr>
  <dimension ref="A1:AP109"/>
  <sheetViews>
    <sheetView tabSelected="1" zoomScale="70" zoomScaleNormal="70" workbookViewId="0">
      <pane ySplit="2" topLeftCell="A51" activePane="bottomLeft" state="frozen"/>
      <selection pane="bottomLeft" activeCell="J113" sqref="J113"/>
    </sheetView>
  </sheetViews>
  <sheetFormatPr defaultRowHeight="15" x14ac:dyDescent="0.25"/>
  <cols>
    <col min="1" max="1" width="16.85546875" customWidth="1"/>
    <col min="2" max="2" width="10" style="4" bestFit="1" customWidth="1"/>
    <col min="3" max="4" width="10" style="4" customWidth="1"/>
    <col min="5" max="5" width="12.5703125" style="3" customWidth="1"/>
    <col min="6" max="6" width="17.85546875" bestFit="1" customWidth="1"/>
    <col min="7" max="7" width="17.7109375" bestFit="1" customWidth="1"/>
    <col min="8" max="12" width="11.42578125" style="4" customWidth="1"/>
    <col min="13" max="13" width="18.5703125" style="28" customWidth="1"/>
    <col min="14" max="15" width="11.42578125" hidden="1" customWidth="1"/>
    <col min="16" max="16" width="13.85546875" style="29" bestFit="1" customWidth="1"/>
    <col min="17" max="18" width="10.28515625" hidden="1" customWidth="1"/>
    <col min="19" max="19" width="14.28515625" style="30" bestFit="1" customWidth="1"/>
    <col min="20" max="21" width="10.7109375" hidden="1" customWidth="1"/>
    <col min="22" max="22" width="23.5703125" style="31" customWidth="1"/>
    <col min="23" max="23" width="12.42578125" customWidth="1"/>
    <col min="24" max="24" width="10.7109375" customWidth="1"/>
    <col min="25" max="25" width="20.7109375" style="32" customWidth="1"/>
    <col min="26" max="26" width="12.42578125" bestFit="1" customWidth="1"/>
    <col min="27" max="27" width="11.140625" bestFit="1" customWidth="1"/>
    <col min="28" max="28" width="14.5703125" bestFit="1" customWidth="1"/>
    <col min="29" max="30" width="11.140625" bestFit="1" customWidth="1"/>
    <col min="31" max="31" width="14.28515625" bestFit="1" customWidth="1"/>
    <col min="32" max="33" width="10.7109375" bestFit="1" customWidth="1"/>
    <col min="34" max="34" width="14.28515625" bestFit="1" customWidth="1"/>
    <col min="35" max="35" width="13.5703125" bestFit="1" customWidth="1"/>
    <col min="36" max="36" width="15.85546875" bestFit="1" customWidth="1"/>
    <col min="37" max="37" width="12.42578125" bestFit="1" customWidth="1"/>
    <col min="38" max="38" width="14" bestFit="1" customWidth="1"/>
    <col min="39" max="39" width="11.140625" bestFit="1" customWidth="1"/>
  </cols>
  <sheetData>
    <row r="1" spans="1:42" s="33" customFormat="1" ht="107.25" customHeight="1" x14ac:dyDescent="0.25">
      <c r="B1" s="34"/>
      <c r="C1" s="34"/>
      <c r="D1" s="34" t="s">
        <v>356</v>
      </c>
      <c r="E1" s="35"/>
      <c r="F1" s="33" t="s">
        <v>354</v>
      </c>
      <c r="G1" s="33" t="s">
        <v>355</v>
      </c>
      <c r="H1" s="34"/>
      <c r="I1" s="34"/>
      <c r="J1" s="34"/>
      <c r="K1" s="34"/>
      <c r="L1" s="34"/>
      <c r="M1" s="36" t="s">
        <v>376</v>
      </c>
      <c r="P1" s="37"/>
      <c r="S1" s="38"/>
      <c r="V1" s="39"/>
      <c r="Y1" s="40"/>
    </row>
    <row r="2" spans="1:42" x14ac:dyDescent="0.25">
      <c r="A2" t="s">
        <v>1</v>
      </c>
      <c r="B2" s="4" t="s">
        <v>179</v>
      </c>
      <c r="C2" s="4" t="s">
        <v>28</v>
      </c>
      <c r="D2" s="4" t="s">
        <v>208</v>
      </c>
      <c r="E2" s="3" t="s">
        <v>16</v>
      </c>
      <c r="F2" t="s">
        <v>193</v>
      </c>
      <c r="G2" t="s">
        <v>194</v>
      </c>
      <c r="H2" s="4" t="s">
        <v>92</v>
      </c>
      <c r="I2" s="4" t="s">
        <v>192</v>
      </c>
      <c r="J2" s="4" t="s">
        <v>371</v>
      </c>
      <c r="K2" s="4" t="s">
        <v>195</v>
      </c>
      <c r="L2" s="4" t="s">
        <v>368</v>
      </c>
      <c r="M2" s="28" t="s">
        <v>17</v>
      </c>
      <c r="N2" t="s">
        <v>18</v>
      </c>
      <c r="O2" t="s">
        <v>19</v>
      </c>
      <c r="P2" s="29" t="s">
        <v>7</v>
      </c>
      <c r="Q2" t="s">
        <v>8</v>
      </c>
      <c r="R2" t="s">
        <v>9</v>
      </c>
      <c r="S2" s="30" t="s">
        <v>10</v>
      </c>
      <c r="T2" t="s">
        <v>11</v>
      </c>
      <c r="U2" t="s">
        <v>12</v>
      </c>
      <c r="V2" s="31" t="s">
        <v>4</v>
      </c>
      <c r="W2" t="s">
        <v>5</v>
      </c>
      <c r="X2" t="s">
        <v>6</v>
      </c>
      <c r="Y2" s="32" t="s">
        <v>13</v>
      </c>
      <c r="Z2" t="s">
        <v>14</v>
      </c>
      <c r="AA2" t="s">
        <v>15</v>
      </c>
      <c r="AB2" t="s">
        <v>99</v>
      </c>
      <c r="AC2" t="s">
        <v>100</v>
      </c>
      <c r="AD2" t="s">
        <v>101</v>
      </c>
      <c r="AE2" t="s">
        <v>106</v>
      </c>
      <c r="AF2" t="s">
        <v>107</v>
      </c>
      <c r="AG2" t="s">
        <v>108</v>
      </c>
      <c r="AH2" t="s">
        <v>69</v>
      </c>
      <c r="AI2" t="s">
        <v>70</v>
      </c>
      <c r="AJ2" t="s">
        <v>71</v>
      </c>
      <c r="AK2" t="s">
        <v>256</v>
      </c>
      <c r="AL2" t="s">
        <v>257</v>
      </c>
      <c r="AM2" t="s">
        <v>258</v>
      </c>
      <c r="AN2" t="s">
        <v>270</v>
      </c>
      <c r="AO2" t="s">
        <v>269</v>
      </c>
      <c r="AP2" t="s">
        <v>300</v>
      </c>
    </row>
    <row r="3" spans="1:42" x14ac:dyDescent="0.25">
      <c r="A3" t="s">
        <v>31</v>
      </c>
      <c r="B3" s="4">
        <v>1</v>
      </c>
      <c r="C3" s="4">
        <f>INDEX(Refs[Include],MATCH(Params[[#This Row],[Reference]],Refs[ID],0))</f>
        <v>0</v>
      </c>
      <c r="D3" s="4" t="b">
        <f>Params[[#This Row],[N]]=1</f>
        <v>1</v>
      </c>
      <c r="E3" s="3">
        <v>1</v>
      </c>
      <c r="F3" s="4" t="b">
        <f>AND(Params[[#This Row],[t1,mean]]&gt;Params[[#This Row],[t2,mean]],Params[[#This Row],[k1,mean]]&lt;Params[[#This Row],[k2,mean]])</f>
        <v>0</v>
      </c>
      <c r="G3" s="4" t="b">
        <f>AND(SUM(Params[[#This Row],[k3,mean]:[t3,se]])=0,SUM(Params[[#This Row],[k1,mean]:[k1,se]])&lt;&gt;0,SUM(Params[[#This Row],[k2,mean]:[k2,se]])&lt;&gt;0)</f>
        <v>0</v>
      </c>
      <c r="H3" s="16" t="str">
        <f>IFERROR((Params[[#This Row],[t1,mean]]*Params[[#This Row],[t2,mean]])/(Params[[#This Row],[t1,mean]]-Params[[#This Row],[t2,mean]]) * LN(Params[[#This Row],[k2,mean]]/Params[[#This Row],[k1,mean]]),"-")</f>
        <v>-</v>
      </c>
      <c r="I3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3" s="16" t="str">
        <f>IF(IFERROR(Params[[#This Row],[k2,mean]]/Params[[#This Row],[k1,mean]],"-")=0,"-",IFERROR(Params[[#This Row],[k2,mean]]/Params[[#This Row],[k1,mean]],"-"))</f>
        <v>-</v>
      </c>
      <c r="K3" s="16" t="str">
        <f>IFERROR(Params[[#This Row],[k1,mean]]/Params[[#This Row],[k2,mean]],"-")</f>
        <v>-</v>
      </c>
      <c r="L3" s="16" t="str">
        <f>IFERROR(Params[[#This Row],[t1,mean]]/Params[[#This Row],[t2,mean]],"-")</f>
        <v>-</v>
      </c>
      <c r="M3" s="28">
        <v>107.5</v>
      </c>
      <c r="P3" s="29">
        <v>35</v>
      </c>
      <c r="AH3">
        <v>196</v>
      </c>
      <c r="AI3">
        <v>157</v>
      </c>
      <c r="AK3">
        <f>60*0.745</f>
        <v>44.7</v>
      </c>
    </row>
    <row r="4" spans="1:42" x14ac:dyDescent="0.25">
      <c r="A4" t="s">
        <v>31</v>
      </c>
      <c r="B4" s="4">
        <v>1</v>
      </c>
      <c r="C4" s="4">
        <f>INDEX(Refs[Include],MATCH(Params[[#This Row],[Reference]],Refs[ID],0))</f>
        <v>0</v>
      </c>
      <c r="D4" s="4" t="b">
        <f>Params[[#This Row],[N]]=1</f>
        <v>1</v>
      </c>
      <c r="E4" s="3">
        <v>2</v>
      </c>
      <c r="F4" s="4" t="b">
        <f>AND(Params[[#This Row],[t1,mean]]&gt;Params[[#This Row],[t2,mean]],Params[[#This Row],[k1,mean]]&lt;Params[[#This Row],[k2,mean]])</f>
        <v>0</v>
      </c>
      <c r="G4" s="4" t="b">
        <f>AND(SUM(Params[[#This Row],[k3,mean]:[t3,se]])=0,SUM(Params[[#This Row],[k1,mean]:[k1,se]])&lt;&gt;0,SUM(Params[[#This Row],[k2,mean]:[k2,se]])&lt;&gt;0)</f>
        <v>0</v>
      </c>
      <c r="H4" s="16" t="str">
        <f>IFERROR((Params[[#This Row],[t1,mean]]*Params[[#This Row],[t2,mean]])/(Params[[#This Row],[t1,mean]]-Params[[#This Row],[t2,mean]]) * LN(Params[[#This Row],[k2,mean]]/Params[[#This Row],[k1,mean]]),"-")</f>
        <v>-</v>
      </c>
      <c r="I4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4" s="16" t="str">
        <f>IF(IFERROR(Params[[#This Row],[k2,mean]]/Params[[#This Row],[k1,mean]],"-")=0,"-",IFERROR(Params[[#This Row],[k2,mean]]/Params[[#This Row],[k1,mean]],"-"))</f>
        <v>-</v>
      </c>
      <c r="K4" s="16" t="str">
        <f>IFERROR(Params[[#This Row],[k1,mean]]/Params[[#This Row],[k2,mean]],"-")</f>
        <v>-</v>
      </c>
      <c r="L4" s="16" t="str">
        <f>IFERROR(Params[[#This Row],[t1,mean]]/Params[[#This Row],[t2,mean]],"-")</f>
        <v>-</v>
      </c>
      <c r="M4" s="28">
        <v>96</v>
      </c>
      <c r="P4" s="29">
        <v>50</v>
      </c>
      <c r="AH4">
        <v>294</v>
      </c>
      <c r="AI4">
        <v>251</v>
      </c>
      <c r="AK4">
        <f>60*0.872</f>
        <v>52.32</v>
      </c>
    </row>
    <row r="5" spans="1:42" x14ac:dyDescent="0.25">
      <c r="A5" t="s">
        <v>31</v>
      </c>
      <c r="B5" s="4">
        <v>1</v>
      </c>
      <c r="C5" s="4">
        <f>INDEX(Refs[Include],MATCH(Params[[#This Row],[Reference]],Refs[ID],0))</f>
        <v>0</v>
      </c>
      <c r="D5" s="4" t="b">
        <f>Params[[#This Row],[N]]=1</f>
        <v>1</v>
      </c>
      <c r="E5" s="3">
        <v>3</v>
      </c>
      <c r="F5" s="4" t="b">
        <f>AND(Params[[#This Row],[t1,mean]]&gt;Params[[#This Row],[t2,mean]],Params[[#This Row],[k1,mean]]&lt;Params[[#This Row],[k2,mean]])</f>
        <v>0</v>
      </c>
      <c r="G5" s="4" t="b">
        <f>AND(SUM(Params[[#This Row],[k3,mean]:[t3,se]])=0,SUM(Params[[#This Row],[k1,mean]:[k1,se]])&lt;&gt;0,SUM(Params[[#This Row],[k2,mean]:[k2,se]])&lt;&gt;0)</f>
        <v>0</v>
      </c>
      <c r="H5" s="16" t="str">
        <f>IFERROR((Params[[#This Row],[t1,mean]]*Params[[#This Row],[t2,mean]])/(Params[[#This Row],[t1,mean]]-Params[[#This Row],[t2,mean]]) * LN(Params[[#This Row],[k2,mean]]/Params[[#This Row],[k1,mean]]),"-")</f>
        <v>-</v>
      </c>
      <c r="I5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5" s="16" t="str">
        <f>IF(IFERROR(Params[[#This Row],[k2,mean]]/Params[[#This Row],[k1,mean]],"-")=0,"-",IFERROR(Params[[#This Row],[k2,mean]]/Params[[#This Row],[k1,mean]],"-"))</f>
        <v>-</v>
      </c>
      <c r="K5" s="16" t="str">
        <f>IFERROR(Params[[#This Row],[k1,mean]]/Params[[#This Row],[k2,mean]],"-")</f>
        <v>-</v>
      </c>
      <c r="L5" s="16" t="str">
        <f>IFERROR(Params[[#This Row],[t1,mean]]/Params[[#This Row],[t2,mean]],"-")</f>
        <v>-</v>
      </c>
      <c r="M5" s="28">
        <v>105.8</v>
      </c>
      <c r="P5" s="29">
        <v>50</v>
      </c>
      <c r="AH5">
        <v>245</v>
      </c>
      <c r="AI5">
        <v>196</v>
      </c>
      <c r="AK5">
        <f>60*0.714</f>
        <v>42.839999999999996</v>
      </c>
    </row>
    <row r="6" spans="1:42" x14ac:dyDescent="0.25">
      <c r="A6" t="s">
        <v>31</v>
      </c>
      <c r="B6" s="4">
        <v>1</v>
      </c>
      <c r="C6" s="4">
        <f>INDEX(Refs[Include],MATCH(Params[[#This Row],[Reference]],Refs[ID],0))</f>
        <v>0</v>
      </c>
      <c r="D6" s="4" t="b">
        <f>Params[[#This Row],[N]]=1</f>
        <v>1</v>
      </c>
      <c r="E6" s="3">
        <v>4</v>
      </c>
      <c r="F6" s="4" t="b">
        <f>AND(Params[[#This Row],[t1,mean]]&gt;Params[[#This Row],[t2,mean]],Params[[#This Row],[k1,mean]]&lt;Params[[#This Row],[k2,mean]])</f>
        <v>0</v>
      </c>
      <c r="G6" s="4" t="b">
        <f>AND(SUM(Params[[#This Row],[k3,mean]:[t3,se]])=0,SUM(Params[[#This Row],[k1,mean]:[k1,se]])&lt;&gt;0,SUM(Params[[#This Row],[k2,mean]:[k2,se]])&lt;&gt;0)</f>
        <v>0</v>
      </c>
      <c r="H6" s="16" t="str">
        <f>IFERROR((Params[[#This Row],[t1,mean]]*Params[[#This Row],[t2,mean]])/(Params[[#This Row],[t1,mean]]-Params[[#This Row],[t2,mean]]) * LN(Params[[#This Row],[k2,mean]]/Params[[#This Row],[k1,mean]]),"-")</f>
        <v>-</v>
      </c>
      <c r="I6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6" s="16" t="str">
        <f>IF(IFERROR(Params[[#This Row],[k2,mean]]/Params[[#This Row],[k1,mean]],"-")=0,"-",IFERROR(Params[[#This Row],[k2,mean]]/Params[[#This Row],[k1,mean]],"-"))</f>
        <v>-</v>
      </c>
      <c r="K6" s="16" t="str">
        <f>IFERROR(Params[[#This Row],[k1,mean]]/Params[[#This Row],[k2,mean]],"-")</f>
        <v>-</v>
      </c>
      <c r="L6" s="16" t="str">
        <f>IFERROR(Params[[#This Row],[t1,mean]]/Params[[#This Row],[t2,mean]],"-")</f>
        <v>-</v>
      </c>
      <c r="M6" s="28">
        <v>107.1</v>
      </c>
      <c r="P6" s="29">
        <v>35</v>
      </c>
      <c r="AH6">
        <v>271</v>
      </c>
      <c r="AI6">
        <v>199</v>
      </c>
      <c r="AK6">
        <f>60*0.816</f>
        <v>48.959999999999994</v>
      </c>
    </row>
    <row r="7" spans="1:42" x14ac:dyDescent="0.25">
      <c r="A7" t="s">
        <v>31</v>
      </c>
      <c r="B7" s="4">
        <v>1</v>
      </c>
      <c r="C7" s="4">
        <f>INDEX(Refs[Include],MATCH(Params[[#This Row],[Reference]],Refs[ID],0))</f>
        <v>0</v>
      </c>
      <c r="D7" s="4" t="b">
        <f>Params[[#This Row],[N]]=1</f>
        <v>1</v>
      </c>
      <c r="E7" s="3">
        <v>5</v>
      </c>
      <c r="F7" s="4" t="b">
        <f>AND(Params[[#This Row],[t1,mean]]&gt;Params[[#This Row],[t2,mean]],Params[[#This Row],[k1,mean]]&lt;Params[[#This Row],[k2,mean]])</f>
        <v>0</v>
      </c>
      <c r="G7" s="4" t="b">
        <f>AND(SUM(Params[[#This Row],[k3,mean]:[t3,se]])=0,SUM(Params[[#This Row],[k1,mean]:[k1,se]])&lt;&gt;0,SUM(Params[[#This Row],[k2,mean]:[k2,se]])&lt;&gt;0)</f>
        <v>0</v>
      </c>
      <c r="H7" s="16" t="str">
        <f>IFERROR((Params[[#This Row],[t1,mean]]*Params[[#This Row],[t2,mean]])/(Params[[#This Row],[t1,mean]]-Params[[#This Row],[t2,mean]]) * LN(Params[[#This Row],[k2,mean]]/Params[[#This Row],[k1,mean]]),"-")</f>
        <v>-</v>
      </c>
      <c r="I7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7" s="16" t="str">
        <f>IF(IFERROR(Params[[#This Row],[k2,mean]]/Params[[#This Row],[k1,mean]],"-")=0,"-",IFERROR(Params[[#This Row],[k2,mean]]/Params[[#This Row],[k1,mean]],"-"))</f>
        <v>-</v>
      </c>
      <c r="K7" s="16" t="str">
        <f>IFERROR(Params[[#This Row],[k1,mean]]/Params[[#This Row],[k2,mean]],"-")</f>
        <v>-</v>
      </c>
      <c r="L7" s="16" t="str">
        <f>IFERROR(Params[[#This Row],[t1,mean]]/Params[[#This Row],[t2,mean]],"-")</f>
        <v>-</v>
      </c>
      <c r="M7" s="28">
        <v>96.2</v>
      </c>
      <c r="P7" s="29">
        <v>30</v>
      </c>
      <c r="AH7">
        <v>272</v>
      </c>
      <c r="AI7">
        <v>239</v>
      </c>
      <c r="AK7">
        <f>60*0.832</f>
        <v>49.919999999999995</v>
      </c>
    </row>
    <row r="8" spans="1:42" x14ac:dyDescent="0.25">
      <c r="A8" t="s">
        <v>31</v>
      </c>
      <c r="B8" s="4">
        <v>1</v>
      </c>
      <c r="C8" s="4">
        <f>INDEX(Refs[Include],MATCH(Params[[#This Row],[Reference]],Refs[ID],0))</f>
        <v>0</v>
      </c>
      <c r="D8" s="4" t="b">
        <f>Params[[#This Row],[N]]=1</f>
        <v>1</v>
      </c>
      <c r="E8" s="3">
        <v>6</v>
      </c>
      <c r="F8" s="4" t="b">
        <f>AND(Params[[#This Row],[t1,mean]]&gt;Params[[#This Row],[t2,mean]],Params[[#This Row],[k1,mean]]&lt;Params[[#This Row],[k2,mean]])</f>
        <v>0</v>
      </c>
      <c r="G8" s="4" t="b">
        <f>AND(SUM(Params[[#This Row],[k3,mean]:[t3,se]])=0,SUM(Params[[#This Row],[k1,mean]:[k1,se]])&lt;&gt;0,SUM(Params[[#This Row],[k2,mean]:[k2,se]])&lt;&gt;0)</f>
        <v>0</v>
      </c>
      <c r="H8" s="16" t="str">
        <f>IFERROR((Params[[#This Row],[t1,mean]]*Params[[#This Row],[t2,mean]])/(Params[[#This Row],[t1,mean]]-Params[[#This Row],[t2,mean]]) * LN(Params[[#This Row],[k2,mean]]/Params[[#This Row],[k1,mean]]),"-")</f>
        <v>-</v>
      </c>
      <c r="I8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8" s="16" t="str">
        <f>IF(IFERROR(Params[[#This Row],[k2,mean]]/Params[[#This Row],[k1,mean]],"-")=0,"-",IFERROR(Params[[#This Row],[k2,mean]]/Params[[#This Row],[k1,mean]],"-"))</f>
        <v>-</v>
      </c>
      <c r="K8" s="16" t="str">
        <f>IFERROR(Params[[#This Row],[k1,mean]]/Params[[#This Row],[k2,mean]],"-")</f>
        <v>-</v>
      </c>
      <c r="L8" s="16" t="str">
        <f>IFERROR(Params[[#This Row],[t1,mean]]/Params[[#This Row],[t2,mean]],"-")</f>
        <v>-</v>
      </c>
      <c r="M8" s="28">
        <v>108.8</v>
      </c>
      <c r="P8" s="29">
        <v>35</v>
      </c>
      <c r="AH8">
        <v>257</v>
      </c>
      <c r="AI8">
        <v>221</v>
      </c>
      <c r="AK8">
        <f>60*0.808</f>
        <v>48.480000000000004</v>
      </c>
    </row>
    <row r="9" spans="1:42" x14ac:dyDescent="0.25">
      <c r="A9" t="s">
        <v>31</v>
      </c>
      <c r="B9" s="4">
        <v>1</v>
      </c>
      <c r="C9" s="4">
        <f>INDEX(Refs[Include],MATCH(Params[[#This Row],[Reference]],Refs[ID],0))</f>
        <v>0</v>
      </c>
      <c r="D9" s="4" t="b">
        <f>Params[[#This Row],[N]]=1</f>
        <v>1</v>
      </c>
      <c r="E9" s="3">
        <v>7</v>
      </c>
      <c r="F9" s="4" t="b">
        <f>AND(Params[[#This Row],[t1,mean]]&gt;Params[[#This Row],[t2,mean]],Params[[#This Row],[k1,mean]]&lt;Params[[#This Row],[k2,mean]])</f>
        <v>0</v>
      </c>
      <c r="G9" s="4" t="b">
        <f>AND(SUM(Params[[#This Row],[k3,mean]:[t3,se]])=0,SUM(Params[[#This Row],[k1,mean]:[k1,se]])&lt;&gt;0,SUM(Params[[#This Row],[k2,mean]:[k2,se]])&lt;&gt;0)</f>
        <v>0</v>
      </c>
      <c r="H9" s="16" t="str">
        <f>IFERROR((Params[[#This Row],[t1,mean]]*Params[[#This Row],[t2,mean]])/(Params[[#This Row],[t1,mean]]-Params[[#This Row],[t2,mean]]) * LN(Params[[#This Row],[k2,mean]]/Params[[#This Row],[k1,mean]]),"-")</f>
        <v>-</v>
      </c>
      <c r="I9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9" s="16" t="str">
        <f>IF(IFERROR(Params[[#This Row],[k2,mean]]/Params[[#This Row],[k1,mean]],"-")=0,"-",IFERROR(Params[[#This Row],[k2,mean]]/Params[[#This Row],[k1,mean]],"-"))</f>
        <v>-</v>
      </c>
      <c r="K9" s="16" t="str">
        <f>IFERROR(Params[[#This Row],[k1,mean]]/Params[[#This Row],[k2,mean]],"-")</f>
        <v>-</v>
      </c>
      <c r="L9" s="16" t="str">
        <f>IFERROR(Params[[#This Row],[t1,mean]]/Params[[#This Row],[t2,mean]],"-")</f>
        <v>-</v>
      </c>
      <c r="M9" s="28">
        <v>100.2</v>
      </c>
      <c r="P9" s="29">
        <v>30</v>
      </c>
      <c r="AH9">
        <v>239</v>
      </c>
      <c r="AI9">
        <v>180</v>
      </c>
      <c r="AK9">
        <f>60*0.773</f>
        <v>46.38</v>
      </c>
    </row>
    <row r="10" spans="1:42" x14ac:dyDescent="0.25">
      <c r="A10" t="s">
        <v>31</v>
      </c>
      <c r="B10" s="4">
        <v>1</v>
      </c>
      <c r="C10" s="4">
        <f>INDEX(Refs[Include],MATCH(Params[[#This Row],[Reference]],Refs[ID],0))</f>
        <v>0</v>
      </c>
      <c r="D10" s="4" t="b">
        <f>Params[[#This Row],[N]]=1</f>
        <v>1</v>
      </c>
      <c r="E10" s="3">
        <v>8</v>
      </c>
      <c r="F10" s="4" t="b">
        <f>AND(Params[[#This Row],[t1,mean]]&gt;Params[[#This Row],[t2,mean]],Params[[#This Row],[k1,mean]]&lt;Params[[#This Row],[k2,mean]])</f>
        <v>0</v>
      </c>
      <c r="G10" s="4" t="b">
        <f>AND(SUM(Params[[#This Row],[k3,mean]:[t3,se]])=0,SUM(Params[[#This Row],[k1,mean]:[k1,se]])&lt;&gt;0,SUM(Params[[#This Row],[k2,mean]:[k2,se]])&lt;&gt;0)</f>
        <v>0</v>
      </c>
      <c r="H10" s="16" t="str">
        <f>IFERROR((Params[[#This Row],[t1,mean]]*Params[[#This Row],[t2,mean]])/(Params[[#This Row],[t1,mean]]-Params[[#This Row],[t2,mean]]) * LN(Params[[#This Row],[k2,mean]]/Params[[#This Row],[k1,mean]]),"-")</f>
        <v>-</v>
      </c>
      <c r="I10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10" s="16" t="str">
        <f>IF(IFERROR(Params[[#This Row],[k2,mean]]/Params[[#This Row],[k1,mean]],"-")=0,"-",IFERROR(Params[[#This Row],[k2,mean]]/Params[[#This Row],[k1,mean]],"-"))</f>
        <v>-</v>
      </c>
      <c r="K10" s="16" t="str">
        <f>IFERROR(Params[[#This Row],[k1,mean]]/Params[[#This Row],[k2,mean]],"-")</f>
        <v>-</v>
      </c>
      <c r="L10" s="16" t="str">
        <f>IFERROR(Params[[#This Row],[t1,mean]]/Params[[#This Row],[t2,mean]],"-")</f>
        <v>-</v>
      </c>
      <c r="M10" s="28">
        <v>109.8</v>
      </c>
      <c r="P10" s="29">
        <v>30</v>
      </c>
      <c r="AH10">
        <v>191</v>
      </c>
      <c r="AI10">
        <v>136</v>
      </c>
      <c r="AK10">
        <f>60*0.803</f>
        <v>48.18</v>
      </c>
    </row>
    <row r="11" spans="1:42" x14ac:dyDescent="0.25">
      <c r="A11" t="s">
        <v>32</v>
      </c>
      <c r="B11" s="4">
        <v>1</v>
      </c>
      <c r="C11" s="4">
        <f>INDEX(Refs[Include],MATCH(Params[[#This Row],[Reference]],Refs[ID],0))</f>
        <v>1</v>
      </c>
      <c r="D11" s="4" t="b">
        <f>Params[[#This Row],[N]]=1</f>
        <v>1</v>
      </c>
      <c r="E11" s="3">
        <v>1</v>
      </c>
      <c r="F11" s="4" t="b">
        <f>AND(Params[[#This Row],[t1,mean]]&gt;Params[[#This Row],[t2,mean]],Params[[#This Row],[k1,mean]]&lt;Params[[#This Row],[k2,mean]])</f>
        <v>1</v>
      </c>
      <c r="G11" s="4" t="b">
        <f>AND(SUM(Params[[#This Row],[k3,mean]:[t3,se]])=0,SUM(Params[[#This Row],[k1,mean]:[k1,se]])&lt;&gt;0,SUM(Params[[#This Row],[k2,mean]:[k2,se]])&lt;&gt;0)</f>
        <v>1</v>
      </c>
      <c r="H11" s="16">
        <f>IFERROR((Params[[#This Row],[t1,mean]]*Params[[#This Row],[t2,mean]])/(Params[[#This Row],[t1,mean]]-Params[[#This Row],[t2,mean]]) * LN(Params[[#This Row],[k2,mean]]/Params[[#This Row],[k1,mean]]),"-")</f>
        <v>3.2762627471275696</v>
      </c>
      <c r="I11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15.158785842440919</v>
      </c>
      <c r="J11" s="16">
        <f>IF(IFERROR(Params[[#This Row],[k2,mean]]/Params[[#This Row],[k1,mean]],"-")=0,"-",IFERROR(Params[[#This Row],[k2,mean]]/Params[[#This Row],[k1,mean]],"-"))</f>
        <v>1.7741935483870968</v>
      </c>
      <c r="K11" s="16">
        <f>IFERROR(Params[[#This Row],[k1,mean]]/Params[[#This Row],[k2,mean]],"-")</f>
        <v>0.5636363636363636</v>
      </c>
      <c r="L11" s="16">
        <f>IFERROR(Params[[#This Row],[t1,mean]]/Params[[#This Row],[t2,mean]],"-")</f>
        <v>8</v>
      </c>
      <c r="M11" s="28">
        <v>105.8</v>
      </c>
      <c r="P11" s="29">
        <v>40</v>
      </c>
      <c r="S11" s="30">
        <v>5</v>
      </c>
      <c r="V11" s="31">
        <v>3.1E-2</v>
      </c>
      <c r="Y11" s="32">
        <v>5.5E-2</v>
      </c>
      <c r="AH11">
        <v>196</v>
      </c>
      <c r="AI11">
        <v>157</v>
      </c>
      <c r="AK11">
        <v>44.7</v>
      </c>
    </row>
    <row r="12" spans="1:42" x14ac:dyDescent="0.25">
      <c r="A12" t="s">
        <v>32</v>
      </c>
      <c r="B12" s="4">
        <v>1</v>
      </c>
      <c r="C12" s="4">
        <f>INDEX(Refs[Include],MATCH(Params[[#This Row],[Reference]],Refs[ID],0))</f>
        <v>1</v>
      </c>
      <c r="D12" s="4" t="b">
        <f>Params[[#This Row],[N]]=1</f>
        <v>1</v>
      </c>
      <c r="E12" s="3">
        <v>2</v>
      </c>
      <c r="F12" s="4" t="b">
        <f>AND(Params[[#This Row],[t1,mean]]&gt;Params[[#This Row],[t2,mean]],Params[[#This Row],[k1,mean]]&lt;Params[[#This Row],[k2,mean]])</f>
        <v>1</v>
      </c>
      <c r="G12" s="4" t="b">
        <f>AND(SUM(Params[[#This Row],[k3,mean]:[t3,se]])=0,SUM(Params[[#This Row],[k1,mean]:[k1,se]])&lt;&gt;0,SUM(Params[[#This Row],[k2,mean]:[k2,se]])&lt;&gt;0)</f>
        <v>1</v>
      </c>
      <c r="H12" s="16">
        <f>IFERROR((Params[[#This Row],[t1,mean]]*Params[[#This Row],[t2,mean]])/(Params[[#This Row],[t1,mean]]-Params[[#This Row],[t2,mean]]) * LN(Params[[#This Row],[k2,mean]]/Params[[#This Row],[k1,mean]]),"-")</f>
        <v>1.7775587027337765</v>
      </c>
      <c r="I12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5.8591017617668486</v>
      </c>
      <c r="J12" s="16">
        <f>IF(IFERROR(Params[[#This Row],[k2,mean]]/Params[[#This Row],[k1,mean]],"-")=0,"-",IFERROR(Params[[#This Row],[k2,mean]]/Params[[#This Row],[k1,mean]],"-"))</f>
        <v>5.7272727272727275</v>
      </c>
      <c r="K12" s="16">
        <f>IFERROR(Params[[#This Row],[k1,mean]]/Params[[#This Row],[k2,mean]],"-")</f>
        <v>0.17460317460317459</v>
      </c>
      <c r="L12" s="16">
        <f>IFERROR(Params[[#This Row],[t1,mean]]/Params[[#This Row],[t2,mean]],"-")</f>
        <v>55</v>
      </c>
      <c r="M12" s="28">
        <v>95.5</v>
      </c>
      <c r="P12" s="29">
        <v>55</v>
      </c>
      <c r="S12" s="30">
        <v>1</v>
      </c>
      <c r="V12" s="31">
        <v>2.1999999999999999E-2</v>
      </c>
      <c r="Y12" s="32">
        <v>0.126</v>
      </c>
      <c r="AH12">
        <v>294</v>
      </c>
      <c r="AI12">
        <v>251</v>
      </c>
      <c r="AK12">
        <v>52.32</v>
      </c>
    </row>
    <row r="13" spans="1:42" x14ac:dyDescent="0.25">
      <c r="A13" t="s">
        <v>32</v>
      </c>
      <c r="B13" s="4">
        <v>1</v>
      </c>
      <c r="C13" s="4">
        <f>INDEX(Refs[Include],MATCH(Params[[#This Row],[Reference]],Refs[ID],0))</f>
        <v>1</v>
      </c>
      <c r="D13" s="4" t="b">
        <f>Params[[#This Row],[N]]=1</f>
        <v>1</v>
      </c>
      <c r="E13" s="3">
        <v>3</v>
      </c>
      <c r="F13" s="4" t="b">
        <f>AND(Params[[#This Row],[t1,mean]]&gt;Params[[#This Row],[t2,mean]],Params[[#This Row],[k1,mean]]&lt;Params[[#This Row],[k2,mean]])</f>
        <v>0</v>
      </c>
      <c r="G13" s="4" t="b">
        <f>AND(SUM(Params[[#This Row],[k3,mean]:[t3,se]])=0,SUM(Params[[#This Row],[k1,mean]:[k1,se]])&lt;&gt;0,SUM(Params[[#This Row],[k2,mean]:[k2,se]])&lt;&gt;0)</f>
        <v>1</v>
      </c>
      <c r="H13" s="16" t="str">
        <f>IFERROR((Params[[#This Row],[t1,mean]]*Params[[#This Row],[t2,mean]])/(Params[[#This Row],[t1,mean]]-Params[[#This Row],[t2,mean]]) * LN(Params[[#This Row],[k2,mean]]/Params[[#This Row],[k1,mean]]),"-")</f>
        <v>-</v>
      </c>
      <c r="I13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13" s="16">
        <f>IF(IFERROR(Params[[#This Row],[k2,mean]]/Params[[#This Row],[k1,mean]],"-")=0,"-",IFERROR(Params[[#This Row],[k2,mean]]/Params[[#This Row],[k1,mean]],"-"))</f>
        <v>-4.416666666666667</v>
      </c>
      <c r="K13" s="16">
        <f>IFERROR(Params[[#This Row],[k1,mean]]/Params[[#This Row],[k2,mean]],"-")</f>
        <v>-0.22641509433962262</v>
      </c>
      <c r="L13" s="16">
        <f>IFERROR(Params[[#This Row],[t1,mean]]/Params[[#This Row],[t2,mean]],"-")</f>
        <v>45</v>
      </c>
      <c r="M13" s="28">
        <v>106.3</v>
      </c>
      <c r="P13" s="29">
        <v>45</v>
      </c>
      <c r="S13" s="30">
        <v>1</v>
      </c>
      <c r="V13" s="31">
        <v>3.5999999999999997E-2</v>
      </c>
      <c r="Y13" s="32">
        <v>-0.159</v>
      </c>
      <c r="AH13">
        <v>245</v>
      </c>
      <c r="AI13">
        <v>196</v>
      </c>
      <c r="AK13">
        <v>42.839999999999996</v>
      </c>
    </row>
    <row r="14" spans="1:42" x14ac:dyDescent="0.25">
      <c r="A14" t="s">
        <v>32</v>
      </c>
      <c r="B14" s="4">
        <v>1</v>
      </c>
      <c r="C14" s="4">
        <f>INDEX(Refs[Include],MATCH(Params[[#This Row],[Reference]],Refs[ID],0))</f>
        <v>1</v>
      </c>
      <c r="D14" s="4" t="b">
        <f>Params[[#This Row],[N]]=1</f>
        <v>1</v>
      </c>
      <c r="E14" s="3">
        <v>4</v>
      </c>
      <c r="F14" s="4" t="b">
        <f>AND(Params[[#This Row],[t1,mean]]&gt;Params[[#This Row],[t2,mean]],Params[[#This Row],[k1,mean]]&lt;Params[[#This Row],[k2,mean]])</f>
        <v>0</v>
      </c>
      <c r="G14" s="4" t="b">
        <f>AND(SUM(Params[[#This Row],[k3,mean]:[t3,se]])=0,SUM(Params[[#This Row],[k1,mean]:[k1,se]])&lt;&gt;0,SUM(Params[[#This Row],[k2,mean]:[k2,se]])&lt;&gt;0)</f>
        <v>1</v>
      </c>
      <c r="H14" s="16" t="str">
        <f>IFERROR((Params[[#This Row],[t1,mean]]*Params[[#This Row],[t2,mean]])/(Params[[#This Row],[t1,mean]]-Params[[#This Row],[t2,mean]]) * LN(Params[[#This Row],[k2,mean]]/Params[[#This Row],[k1,mean]]),"-")</f>
        <v>-</v>
      </c>
      <c r="I14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14" s="16">
        <f>IF(IFERROR(Params[[#This Row],[k2,mean]]/Params[[#This Row],[k1,mean]],"-")=0,"-",IFERROR(Params[[#This Row],[k2,mean]]/Params[[#This Row],[k1,mean]],"-"))</f>
        <v>-5.5869565217391308</v>
      </c>
      <c r="K14" s="16">
        <f>IFERROR(Params[[#This Row],[k1,mean]]/Params[[#This Row],[k2,mean]],"-")</f>
        <v>-0.17898832684824903</v>
      </c>
      <c r="L14" s="16">
        <f>IFERROR(Params[[#This Row],[t1,mean]]/Params[[#This Row],[t2,mean]],"-")</f>
        <v>40</v>
      </c>
      <c r="M14" s="28">
        <v>108.4</v>
      </c>
      <c r="P14" s="29">
        <v>40</v>
      </c>
      <c r="S14" s="30">
        <v>1</v>
      </c>
      <c r="V14" s="31">
        <v>4.5999999999999999E-2</v>
      </c>
      <c r="Y14" s="32">
        <v>-0.25700000000000001</v>
      </c>
      <c r="AH14">
        <v>271</v>
      </c>
      <c r="AI14">
        <v>199</v>
      </c>
      <c r="AK14">
        <v>48.959999999999994</v>
      </c>
    </row>
    <row r="15" spans="1:42" x14ac:dyDescent="0.25">
      <c r="A15" t="s">
        <v>32</v>
      </c>
      <c r="B15" s="4">
        <v>1</v>
      </c>
      <c r="C15" s="4">
        <f>INDEX(Refs[Include],MATCH(Params[[#This Row],[Reference]],Refs[ID],0))</f>
        <v>1</v>
      </c>
      <c r="D15" s="4" t="b">
        <f>Params[[#This Row],[N]]=1</f>
        <v>1</v>
      </c>
      <c r="E15" s="3">
        <v>5</v>
      </c>
      <c r="F15" s="4" t="b">
        <f>AND(Params[[#This Row],[t1,mean]]&gt;Params[[#This Row],[t2,mean]],Params[[#This Row],[k1,mean]]&lt;Params[[#This Row],[k2,mean]])</f>
        <v>0</v>
      </c>
      <c r="G15" s="4" t="b">
        <f>AND(SUM(Params[[#This Row],[k3,mean]:[t3,se]])=0,SUM(Params[[#This Row],[k1,mean]:[k1,se]])&lt;&gt;0,SUM(Params[[#This Row],[k2,mean]:[k2,se]])&lt;&gt;0)</f>
        <v>1</v>
      </c>
      <c r="H15" s="16" t="str">
        <f>IFERROR((Params[[#This Row],[t1,mean]]*Params[[#This Row],[t2,mean]])/(Params[[#This Row],[t1,mean]]-Params[[#This Row],[t2,mean]]) * LN(Params[[#This Row],[k2,mean]]/Params[[#This Row],[k1,mean]]),"-")</f>
        <v>-</v>
      </c>
      <c r="I15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15" s="16">
        <f>IF(IFERROR(Params[[#This Row],[k2,mean]]/Params[[#This Row],[k1,mean]],"-")=0,"-",IFERROR(Params[[#This Row],[k2,mean]]/Params[[#This Row],[k1,mean]],"-"))</f>
        <v>-2.1296296296296298</v>
      </c>
      <c r="K15" s="16">
        <f>IFERROR(Params[[#This Row],[k1,mean]]/Params[[#This Row],[k2,mean]],"-")</f>
        <v>-0.4695652173913043</v>
      </c>
      <c r="L15" s="16">
        <f>IFERROR(Params[[#This Row],[t1,mean]]/Params[[#This Row],[t2,mean]],"-")</f>
        <v>10</v>
      </c>
      <c r="M15" s="28">
        <v>99.1</v>
      </c>
      <c r="P15" s="29">
        <v>30</v>
      </c>
      <c r="S15" s="30">
        <v>3</v>
      </c>
      <c r="V15" s="31">
        <v>5.3999999999999999E-2</v>
      </c>
      <c r="Y15" s="32">
        <v>-0.115</v>
      </c>
      <c r="AH15">
        <v>272</v>
      </c>
      <c r="AI15">
        <v>239</v>
      </c>
      <c r="AK15">
        <v>49.919999999999995</v>
      </c>
    </row>
    <row r="16" spans="1:42" x14ac:dyDescent="0.25">
      <c r="A16" t="s">
        <v>32</v>
      </c>
      <c r="B16" s="4">
        <v>1</v>
      </c>
      <c r="C16" s="4">
        <f>INDEX(Refs[Include],MATCH(Params[[#This Row],[Reference]],Refs[ID],0))</f>
        <v>1</v>
      </c>
      <c r="D16" s="4" t="b">
        <f>Params[[#This Row],[N]]=1</f>
        <v>1</v>
      </c>
      <c r="E16" s="3">
        <v>6</v>
      </c>
      <c r="F16" s="4" t="b">
        <f>AND(Params[[#This Row],[t1,mean]]&gt;Params[[#This Row],[t2,mean]],Params[[#This Row],[k1,mean]]&lt;Params[[#This Row],[k2,mean]])</f>
        <v>0</v>
      </c>
      <c r="G16" s="4" t="b">
        <f>AND(SUM(Params[[#This Row],[k3,mean]:[t3,se]])=0,SUM(Params[[#This Row],[k1,mean]:[k1,se]])&lt;&gt;0,SUM(Params[[#This Row],[k2,mean]:[k2,se]])&lt;&gt;0)</f>
        <v>1</v>
      </c>
      <c r="H16" s="16" t="str">
        <f>IFERROR((Params[[#This Row],[t1,mean]]*Params[[#This Row],[t2,mean]])/(Params[[#This Row],[t1,mean]]-Params[[#This Row],[t2,mean]]) * LN(Params[[#This Row],[k2,mean]]/Params[[#This Row],[k1,mean]]),"-")</f>
        <v>-</v>
      </c>
      <c r="I16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16" s="16">
        <f>IF(IFERROR(Params[[#This Row],[k2,mean]]/Params[[#This Row],[k1,mean]],"-")=0,"-",IFERROR(Params[[#This Row],[k2,mean]]/Params[[#This Row],[k1,mean]],"-"))</f>
        <v>-3.1702127659574466</v>
      </c>
      <c r="K16" s="16">
        <f>IFERROR(Params[[#This Row],[k1,mean]]/Params[[#This Row],[k2,mean]],"-")</f>
        <v>-0.31543624161073824</v>
      </c>
      <c r="L16" s="16">
        <f>IFERROR(Params[[#This Row],[t1,mean]]/Params[[#This Row],[t2,mean]],"-")</f>
        <v>35</v>
      </c>
      <c r="M16" s="28">
        <v>109.5</v>
      </c>
      <c r="P16" s="29">
        <v>35</v>
      </c>
      <c r="S16" s="30">
        <v>1</v>
      </c>
      <c r="V16" s="31">
        <v>4.7E-2</v>
      </c>
      <c r="Y16" s="32">
        <v>-0.14899999999999999</v>
      </c>
      <c r="AH16">
        <v>257</v>
      </c>
      <c r="AI16">
        <v>221</v>
      </c>
      <c r="AK16">
        <v>48.480000000000004</v>
      </c>
    </row>
    <row r="17" spans="1:41" x14ac:dyDescent="0.25">
      <c r="A17" t="s">
        <v>32</v>
      </c>
      <c r="B17" s="4">
        <v>1</v>
      </c>
      <c r="C17" s="4">
        <f>INDEX(Refs[Include],MATCH(Params[[#This Row],[Reference]],Refs[ID],0))</f>
        <v>1</v>
      </c>
      <c r="D17" s="4" t="b">
        <f>Params[[#This Row],[N]]=1</f>
        <v>1</v>
      </c>
      <c r="E17" s="3">
        <v>7</v>
      </c>
      <c r="F17" s="4" t="b">
        <f>AND(Params[[#This Row],[t1,mean]]&gt;Params[[#This Row],[t2,mean]],Params[[#This Row],[k1,mean]]&lt;Params[[#This Row],[k2,mean]])</f>
        <v>0</v>
      </c>
      <c r="G17" s="4" t="b">
        <f>AND(SUM(Params[[#This Row],[k3,mean]:[t3,se]])=0,SUM(Params[[#This Row],[k1,mean]:[k1,se]])&lt;&gt;0,SUM(Params[[#This Row],[k2,mean]:[k2,se]])&lt;&gt;0)</f>
        <v>1</v>
      </c>
      <c r="H17" s="16" t="str">
        <f>IFERROR((Params[[#This Row],[t1,mean]]*Params[[#This Row],[t2,mean]])/(Params[[#This Row],[t1,mean]]-Params[[#This Row],[t2,mean]]) * LN(Params[[#This Row],[k2,mean]]/Params[[#This Row],[k1,mean]]),"-")</f>
        <v>-</v>
      </c>
      <c r="I17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17" s="16">
        <f>IF(IFERROR(Params[[#This Row],[k2,mean]]/Params[[#This Row],[k1,mean]],"-")=0,"-",IFERROR(Params[[#This Row],[k2,mean]]/Params[[#This Row],[k1,mean]],"-"))</f>
        <v>-2.3026315789473681</v>
      </c>
      <c r="K17" s="16">
        <f>IFERROR(Params[[#This Row],[k1,mean]]/Params[[#This Row],[k2,mean]],"-")</f>
        <v>-0.43428571428571427</v>
      </c>
      <c r="L17" s="16">
        <f>IFERROR(Params[[#This Row],[t1,mean]]/Params[[#This Row],[t2,mean]],"-")</f>
        <v>30</v>
      </c>
      <c r="M17" s="28">
        <v>100.8</v>
      </c>
      <c r="P17" s="29">
        <v>30</v>
      </c>
      <c r="S17" s="30">
        <v>1</v>
      </c>
      <c r="V17" s="31">
        <v>7.5999999999999998E-2</v>
      </c>
      <c r="Y17" s="32">
        <v>-0.17499999999999999</v>
      </c>
      <c r="AH17">
        <v>239</v>
      </c>
      <c r="AI17">
        <v>180</v>
      </c>
      <c r="AK17">
        <v>46.38</v>
      </c>
    </row>
    <row r="18" spans="1:41" x14ac:dyDescent="0.25">
      <c r="A18" t="s">
        <v>32</v>
      </c>
      <c r="B18" s="4">
        <v>1</v>
      </c>
      <c r="C18" s="4">
        <f>INDEX(Refs[Include],MATCH(Params[[#This Row],[Reference]],Refs[ID],0))</f>
        <v>1</v>
      </c>
      <c r="D18" s="4" t="b">
        <f>Params[[#This Row],[N]]=1</f>
        <v>1</v>
      </c>
      <c r="E18" s="3">
        <v>8</v>
      </c>
      <c r="F18" s="4" t="b">
        <f>AND(Params[[#This Row],[t1,mean]]&gt;Params[[#This Row],[t2,mean]],Params[[#This Row],[k1,mean]]&lt;Params[[#This Row],[k2,mean]])</f>
        <v>0</v>
      </c>
      <c r="G18" s="4" t="b">
        <f>AND(SUM(Params[[#This Row],[k3,mean]:[t3,se]])=0,SUM(Params[[#This Row],[k1,mean]:[k1,se]])&lt;&gt;0,SUM(Params[[#This Row],[k2,mean]:[k2,se]])&lt;&gt;0)</f>
        <v>1</v>
      </c>
      <c r="H18" s="16" t="str">
        <f>IFERROR((Params[[#This Row],[t1,mean]]*Params[[#This Row],[t2,mean]])/(Params[[#This Row],[t1,mean]]-Params[[#This Row],[t2,mean]]) * LN(Params[[#This Row],[k2,mean]]/Params[[#This Row],[k1,mean]]),"-")</f>
        <v>-</v>
      </c>
      <c r="I18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18" s="16">
        <f>IF(IFERROR(Params[[#This Row],[k2,mean]]/Params[[#This Row],[k1,mean]],"-")=0,"-",IFERROR(Params[[#This Row],[k2,mean]]/Params[[#This Row],[k1,mean]],"-"))</f>
        <v>-3.6438356164383565</v>
      </c>
      <c r="K18" s="16">
        <f>IFERROR(Params[[#This Row],[k1,mean]]/Params[[#This Row],[k2,mean]],"-")</f>
        <v>-0.27443609022556387</v>
      </c>
      <c r="L18" s="16">
        <f>IFERROR(Params[[#This Row],[t1,mean]]/Params[[#This Row],[t2,mean]],"-")</f>
        <v>15</v>
      </c>
      <c r="M18" s="28">
        <v>112.9</v>
      </c>
      <c r="P18" s="29">
        <v>30</v>
      </c>
      <c r="S18" s="30">
        <v>2</v>
      </c>
      <c r="V18" s="31">
        <v>7.2999999999999995E-2</v>
      </c>
      <c r="Y18" s="32">
        <v>-0.26600000000000001</v>
      </c>
      <c r="AH18">
        <v>191</v>
      </c>
      <c r="AI18">
        <v>136</v>
      </c>
      <c r="AK18">
        <v>48.18</v>
      </c>
    </row>
    <row r="19" spans="1:41" x14ac:dyDescent="0.25">
      <c r="A19" t="s">
        <v>119</v>
      </c>
      <c r="B19" s="4">
        <v>1</v>
      </c>
      <c r="C19" s="4">
        <f>INDEX(Refs[Include],MATCH(Params[[#This Row],[Reference]],Refs[ID],0))</f>
        <v>1</v>
      </c>
      <c r="D19" s="4" t="b">
        <f>Params[[#This Row],[N]]=1</f>
        <v>1</v>
      </c>
      <c r="E19" s="3">
        <v>1</v>
      </c>
      <c r="F19" s="4" t="b">
        <f>AND(Params[[#This Row],[t1,mean]]&gt;Params[[#This Row],[t2,mean]],Params[[#This Row],[k1,mean]]&lt;Params[[#This Row],[k2,mean]])</f>
        <v>1</v>
      </c>
      <c r="G19" s="4" t="b">
        <f>AND(SUM(Params[[#This Row],[k3,mean]:[t3,se]])=0,SUM(Params[[#This Row],[k1,mean]:[k1,se]])&lt;&gt;0,SUM(Params[[#This Row],[k2,mean]:[k2,se]])&lt;&gt;0)</f>
        <v>1</v>
      </c>
      <c r="H19" s="16">
        <f>IFERROR((Params[[#This Row],[t1,mean]]*Params[[#This Row],[t2,mean]])/(Params[[#This Row],[t1,mean]]-Params[[#This Row],[t2,mean]]) * LN(Params[[#This Row],[k2,mean]]/Params[[#This Row],[k1,mean]]),"-")</f>
        <v>22.64183094538021</v>
      </c>
      <c r="I19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48.023283279704465</v>
      </c>
      <c r="J19" s="16">
        <f>IF(IFERROR(Params[[#This Row],[k2,mean]]/Params[[#This Row],[k1,mean]],"-")=0,"-",IFERROR(Params[[#This Row],[k2,mean]]/Params[[#This Row],[k1,mean]],"-"))</f>
        <v>3.9130434782608696</v>
      </c>
      <c r="K19" s="16">
        <f>IFERROR(Params[[#This Row],[k1,mean]]/Params[[#This Row],[k2,mean]],"-")</f>
        <v>0.25555555555555554</v>
      </c>
      <c r="L19" s="16">
        <f>IFERROR(Params[[#This Row],[t1,mean]]/Params[[#This Row],[t2,mean]],"-")</f>
        <v>4.615384615384615</v>
      </c>
      <c r="M19" s="28">
        <v>496</v>
      </c>
      <c r="P19" s="29">
        <v>60</v>
      </c>
      <c r="S19" s="30">
        <v>13</v>
      </c>
      <c r="V19" s="31">
        <v>6.9000000000000006E-2</v>
      </c>
      <c r="Y19" s="32">
        <v>0.27</v>
      </c>
      <c r="AH19" s="17">
        <v>538.60500000000002</v>
      </c>
      <c r="AI19" s="17">
        <v>445.34899999999999</v>
      </c>
      <c r="AJ19" s="17">
        <v>497.6866315789473</v>
      </c>
      <c r="AK19">
        <v>48.387</v>
      </c>
      <c r="AL19">
        <v>29.943297297297306</v>
      </c>
      <c r="AM19">
        <v>8.7451308987879859</v>
      </c>
      <c r="AN19">
        <f>37*7</f>
        <v>259</v>
      </c>
      <c r="AO19">
        <v>19</v>
      </c>
    </row>
    <row r="20" spans="1:41" x14ac:dyDescent="0.25">
      <c r="A20" t="s">
        <v>37</v>
      </c>
      <c r="B20" s="4">
        <v>1</v>
      </c>
      <c r="C20" s="4">
        <f>INDEX(Refs[Include],MATCH(Params[[#This Row],[Reference]],Refs[ID],0))</f>
        <v>1</v>
      </c>
      <c r="D20" s="4" t="b">
        <f>Params[[#This Row],[N]]=1</f>
        <v>1</v>
      </c>
      <c r="E20" s="3" t="s">
        <v>38</v>
      </c>
      <c r="F20" s="4" t="b">
        <f>AND(Params[[#This Row],[t1,mean]]&gt;Params[[#This Row],[t2,mean]],Params[[#This Row],[k1,mean]]&lt;Params[[#This Row],[k2,mean]])</f>
        <v>1</v>
      </c>
      <c r="G20" s="4" t="b">
        <f>AND(SUM(Params[[#This Row],[k3,mean]:[t3,se]])=0,SUM(Params[[#This Row],[k1,mean]:[k1,se]])&lt;&gt;0,SUM(Params[[#This Row],[k2,mean]:[k2,se]])&lt;&gt;0)</f>
        <v>1</v>
      </c>
      <c r="H20" s="16">
        <f>IFERROR((Params[[#This Row],[t1,mean]]*Params[[#This Row],[t2,mean]])/(Params[[#This Row],[t1,mean]]-Params[[#This Row],[t2,mean]]) * LN(Params[[#This Row],[k2,mean]]/Params[[#This Row],[k1,mean]]),"-")</f>
        <v>5.6236559527121512</v>
      </c>
      <c r="I20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17.229585386007336</v>
      </c>
      <c r="J20" s="16">
        <f>IF(IFERROR(Params[[#This Row],[k2,mean]]/Params[[#This Row],[k1,mean]],"-")=0,"-",IFERROR(Params[[#This Row],[k2,mean]]/Params[[#This Row],[k1,mean]],"-"))</f>
        <v>3.7142857142857144</v>
      </c>
      <c r="K20" s="16">
        <f>IFERROR(Params[[#This Row],[k1,mean]]/Params[[#This Row],[k2,mean]],"-")</f>
        <v>0.26923076923076922</v>
      </c>
      <c r="L20" s="16">
        <f>IFERROR(Params[[#This Row],[t1,mean]]/Params[[#This Row],[t2,mean]],"-")</f>
        <v>15</v>
      </c>
      <c r="M20" s="28">
        <f>6*0.8</f>
        <v>4.8000000000000007</v>
      </c>
      <c r="P20" s="29">
        <v>60</v>
      </c>
      <c r="S20" s="30">
        <v>4</v>
      </c>
      <c r="V20" s="31">
        <v>2.0999999999999999E-3</v>
      </c>
      <c r="Y20" s="32">
        <v>7.7999999999999996E-3</v>
      </c>
      <c r="AK20">
        <v>84</v>
      </c>
      <c r="AL20">
        <v>46</v>
      </c>
      <c r="AM20">
        <v>24.3</v>
      </c>
    </row>
    <row r="21" spans="1:41" x14ac:dyDescent="0.25">
      <c r="A21" t="s">
        <v>37</v>
      </c>
      <c r="B21" s="4">
        <v>1</v>
      </c>
      <c r="C21" s="4">
        <f>INDEX(Refs[Include],MATCH(Params[[#This Row],[Reference]],Refs[ID],0))</f>
        <v>1</v>
      </c>
      <c r="D21" s="4" t="b">
        <f>Params[[#This Row],[N]]=1</f>
        <v>1</v>
      </c>
      <c r="E21" s="3" t="s">
        <v>39</v>
      </c>
      <c r="F21" s="4" t="b">
        <f>AND(Params[[#This Row],[t1,mean]]&gt;Params[[#This Row],[t2,mean]],Params[[#This Row],[k1,mean]]&lt;Params[[#This Row],[k2,mean]])</f>
        <v>1</v>
      </c>
      <c r="G21" s="4" t="b">
        <f>AND(SUM(Params[[#This Row],[k3,mean]:[t3,se]])=0,SUM(Params[[#This Row],[k1,mean]:[k1,se]])&lt;&gt;0,SUM(Params[[#This Row],[k2,mean]:[k2,se]])&lt;&gt;0)</f>
        <v>1</v>
      </c>
      <c r="H21" s="16">
        <f>IFERROR((Params[[#This Row],[t1,mean]]*Params[[#This Row],[t2,mean]])/(Params[[#This Row],[t1,mean]]-Params[[#This Row],[t2,mean]]) * LN(Params[[#This Row],[k2,mean]]/Params[[#This Row],[k1,mean]]),"-")</f>
        <v>8.9734697465463391</v>
      </c>
      <c r="I21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24.324037033173308</v>
      </c>
      <c r="J21" s="16">
        <f>IF(IFERROR(Params[[#This Row],[k2,mean]]/Params[[#This Row],[k1,mean]],"-")=0,"-",IFERROR(Params[[#This Row],[k2,mean]]/Params[[#This Row],[k1,mean]],"-"))</f>
        <v>3.8421052631578947</v>
      </c>
      <c r="K21" s="16">
        <f>IFERROR(Params[[#This Row],[k1,mean]]/Params[[#This Row],[k2,mean]],"-")</f>
        <v>0.26027397260273971</v>
      </c>
      <c r="L21" s="16">
        <f>IFERROR(Params[[#This Row],[t1,mean]]/Params[[#This Row],[t2,mean]],"-")</f>
        <v>10</v>
      </c>
      <c r="M21" s="28">
        <f>5.5*0.8</f>
        <v>4.4000000000000004</v>
      </c>
      <c r="P21" s="29">
        <v>60</v>
      </c>
      <c r="S21" s="30">
        <v>6</v>
      </c>
      <c r="V21" s="31">
        <v>1.9E-3</v>
      </c>
      <c r="Y21" s="32">
        <v>7.3000000000000001E-3</v>
      </c>
      <c r="AK21">
        <v>89</v>
      </c>
      <c r="AL21">
        <v>51</v>
      </c>
      <c r="AM21">
        <v>26.1</v>
      </c>
    </row>
    <row r="22" spans="1:41" x14ac:dyDescent="0.25">
      <c r="A22" t="s">
        <v>126</v>
      </c>
      <c r="B22" s="4">
        <v>1</v>
      </c>
      <c r="C22" s="4">
        <f>INDEX(Refs[Include],MATCH(Params[[#This Row],[Reference]],Refs[ID],0))</f>
        <v>1</v>
      </c>
      <c r="D22" s="4" t="b">
        <f>Params[[#This Row],[N]]=1</f>
        <v>1</v>
      </c>
      <c r="E22" s="3">
        <v>1</v>
      </c>
      <c r="F22" s="4" t="b">
        <f>AND(Params[[#This Row],[t1,mean]]&gt;Params[[#This Row],[t2,mean]],Params[[#This Row],[k1,mean]]&lt;Params[[#This Row],[k2,mean]])</f>
        <v>0</v>
      </c>
      <c r="G22" s="4" t="b">
        <f>AND(SUM(Params[[#This Row],[k3,mean]:[t3,se]])=0,SUM(Params[[#This Row],[k1,mean]:[k1,se]])&lt;&gt;0,SUM(Params[[#This Row],[k2,mean]:[k2,se]])&lt;&gt;0)</f>
        <v>0</v>
      </c>
      <c r="H22" s="16" t="str">
        <f>IFERROR((Params[[#This Row],[t1,mean]]*Params[[#This Row],[t2,mean]])/(Params[[#This Row],[t1,mean]]-Params[[#This Row],[t2,mean]]) * LN(Params[[#This Row],[k2,mean]]/Params[[#This Row],[k1,mean]]),"-")</f>
        <v>-</v>
      </c>
      <c r="I22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22" s="16" t="str">
        <f>IF(IFERROR(Params[[#This Row],[k2,mean]]/Params[[#This Row],[k1,mean]],"-")=0,"-",IFERROR(Params[[#This Row],[k2,mean]]/Params[[#This Row],[k1,mean]],"-"))</f>
        <v>-</v>
      </c>
      <c r="K22" s="16" t="str">
        <f>IFERROR(Params[[#This Row],[k1,mean]]/Params[[#This Row],[k2,mean]],"-")</f>
        <v>-</v>
      </c>
      <c r="L22" s="16" t="str">
        <f>IFERROR(Params[[#This Row],[t1,mean]]/Params[[#This Row],[t2,mean]],"-")</f>
        <v>-</v>
      </c>
      <c r="M22" s="28">
        <v>326.69099999999997</v>
      </c>
      <c r="AH22">
        <v>418.25200000000001</v>
      </c>
      <c r="AI22">
        <v>323.90499999999997</v>
      </c>
      <c r="AL22" s="19">
        <v>100</v>
      </c>
    </row>
    <row r="23" spans="1:41" x14ac:dyDescent="0.25">
      <c r="A23" t="s">
        <v>126</v>
      </c>
      <c r="B23" s="4">
        <v>1</v>
      </c>
      <c r="C23" s="4">
        <f>INDEX(Refs[Include],MATCH(Params[[#This Row],[Reference]],Refs[ID],0))</f>
        <v>1</v>
      </c>
      <c r="D23" s="4" t="b">
        <f>Params[[#This Row],[N]]=1</f>
        <v>1</v>
      </c>
      <c r="E23" s="3">
        <v>2</v>
      </c>
      <c r="F23" s="4" t="b">
        <f>AND(Params[[#This Row],[t1,mean]]&gt;Params[[#This Row],[t2,mean]],Params[[#This Row],[k1,mean]]&lt;Params[[#This Row],[k2,mean]])</f>
        <v>0</v>
      </c>
      <c r="G23" s="4" t="b">
        <f>AND(SUM(Params[[#This Row],[k3,mean]:[t3,se]])=0,SUM(Params[[#This Row],[k1,mean]:[k1,se]])&lt;&gt;0,SUM(Params[[#This Row],[k2,mean]:[k2,se]])&lt;&gt;0)</f>
        <v>0</v>
      </c>
      <c r="H23" s="16" t="str">
        <f>IFERROR((Params[[#This Row],[t1,mean]]*Params[[#This Row],[t2,mean]])/(Params[[#This Row],[t1,mean]]-Params[[#This Row],[t2,mean]]) * LN(Params[[#This Row],[k2,mean]]/Params[[#This Row],[k1,mean]]),"-")</f>
        <v>-</v>
      </c>
      <c r="I23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23" s="16" t="str">
        <f>IF(IFERROR(Params[[#This Row],[k2,mean]]/Params[[#This Row],[k1,mean]],"-")=0,"-",IFERROR(Params[[#This Row],[k2,mean]]/Params[[#This Row],[k1,mean]],"-"))</f>
        <v>-</v>
      </c>
      <c r="K23" s="16" t="str">
        <f>IFERROR(Params[[#This Row],[k1,mean]]/Params[[#This Row],[k2,mean]],"-")</f>
        <v>-</v>
      </c>
      <c r="L23" s="16" t="str">
        <f>IFERROR(Params[[#This Row],[t1,mean]]/Params[[#This Row],[t2,mean]],"-")</f>
        <v>-</v>
      </c>
      <c r="M23" s="28">
        <v>250.98400000000001</v>
      </c>
      <c r="AH23">
        <v>355.928</v>
      </c>
      <c r="AI23">
        <v>245.221</v>
      </c>
      <c r="AL23" s="19">
        <v>100</v>
      </c>
    </row>
    <row r="24" spans="1:41" x14ac:dyDescent="0.25">
      <c r="A24" t="s">
        <v>126</v>
      </c>
      <c r="B24" s="4">
        <v>1</v>
      </c>
      <c r="C24" s="4">
        <f>INDEX(Refs[Include],MATCH(Params[[#This Row],[Reference]],Refs[ID],0))</f>
        <v>1</v>
      </c>
      <c r="D24" s="4" t="b">
        <f>Params[[#This Row],[N]]=1</f>
        <v>1</v>
      </c>
      <c r="E24" s="3">
        <v>3</v>
      </c>
      <c r="F24" s="4" t="b">
        <f>AND(Params[[#This Row],[t1,mean]]&gt;Params[[#This Row],[t2,mean]],Params[[#This Row],[k1,mean]]&lt;Params[[#This Row],[k2,mean]])</f>
        <v>0</v>
      </c>
      <c r="G24" s="4" t="b">
        <f>AND(SUM(Params[[#This Row],[k3,mean]:[t3,se]])=0,SUM(Params[[#This Row],[k1,mean]:[k1,se]])&lt;&gt;0,SUM(Params[[#This Row],[k2,mean]:[k2,se]])&lt;&gt;0)</f>
        <v>0</v>
      </c>
      <c r="H24" s="16" t="str">
        <f>IFERROR((Params[[#This Row],[t1,mean]]*Params[[#This Row],[t2,mean]])/(Params[[#This Row],[t1,mean]]-Params[[#This Row],[t2,mean]]) * LN(Params[[#This Row],[k2,mean]]/Params[[#This Row],[k1,mean]]),"-")</f>
        <v>-</v>
      </c>
      <c r="I24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24" s="16" t="str">
        <f>IF(IFERROR(Params[[#This Row],[k2,mean]]/Params[[#This Row],[k1,mean]],"-")=0,"-",IFERROR(Params[[#This Row],[k2,mean]]/Params[[#This Row],[k1,mean]],"-"))</f>
        <v>-</v>
      </c>
      <c r="K24" s="16" t="str">
        <f>IFERROR(Params[[#This Row],[k1,mean]]/Params[[#This Row],[k2,mean]],"-")</f>
        <v>-</v>
      </c>
      <c r="L24" s="16" t="str">
        <f>IFERROR(Params[[#This Row],[t1,mean]]/Params[[#This Row],[t2,mean]],"-")</f>
        <v>-</v>
      </c>
      <c r="M24" s="28">
        <v>293.05700000000002</v>
      </c>
      <c r="AH24">
        <v>386.36900000000003</v>
      </c>
      <c r="AI24">
        <v>288.27999999999997</v>
      </c>
      <c r="AL24" s="19">
        <v>100</v>
      </c>
    </row>
    <row r="25" spans="1:41" x14ac:dyDescent="0.25">
      <c r="A25" t="s">
        <v>126</v>
      </c>
      <c r="B25" s="4">
        <v>1</v>
      </c>
      <c r="C25" s="4">
        <f>INDEX(Refs[Include],MATCH(Params[[#This Row],[Reference]],Refs[ID],0))</f>
        <v>1</v>
      </c>
      <c r="D25" s="4" t="b">
        <f>Params[[#This Row],[N]]=1</f>
        <v>1</v>
      </c>
      <c r="E25" s="3">
        <v>4</v>
      </c>
      <c r="F25" s="4" t="b">
        <f>AND(Params[[#This Row],[t1,mean]]&gt;Params[[#This Row],[t2,mean]],Params[[#This Row],[k1,mean]]&lt;Params[[#This Row],[k2,mean]])</f>
        <v>0</v>
      </c>
      <c r="G25" s="4" t="b">
        <f>AND(SUM(Params[[#This Row],[k3,mean]:[t3,se]])=0,SUM(Params[[#This Row],[k1,mean]:[k1,se]])&lt;&gt;0,SUM(Params[[#This Row],[k2,mean]:[k2,se]])&lt;&gt;0)</f>
        <v>0</v>
      </c>
      <c r="H25" s="16" t="str">
        <f>IFERROR((Params[[#This Row],[t1,mean]]*Params[[#This Row],[t2,mean]])/(Params[[#This Row],[t1,mean]]-Params[[#This Row],[t2,mean]]) * LN(Params[[#This Row],[k2,mean]]/Params[[#This Row],[k1,mean]]),"-")</f>
        <v>-</v>
      </c>
      <c r="I25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25" s="16" t="str">
        <f>IF(IFERROR(Params[[#This Row],[k2,mean]]/Params[[#This Row],[k1,mean]],"-")=0,"-",IFERROR(Params[[#This Row],[k2,mean]]/Params[[#This Row],[k1,mean]],"-"))</f>
        <v>-</v>
      </c>
      <c r="K25" s="16" t="str">
        <f>IFERROR(Params[[#This Row],[k1,mean]]/Params[[#This Row],[k2,mean]],"-")</f>
        <v>-</v>
      </c>
      <c r="L25" s="16" t="str">
        <f>IFERROR(Params[[#This Row],[t1,mean]]/Params[[#This Row],[t2,mean]],"-")</f>
        <v>-</v>
      </c>
      <c r="M25" s="28">
        <v>239.64500000000001</v>
      </c>
      <c r="AH25">
        <v>320.77100000000002</v>
      </c>
      <c r="AI25">
        <v>235.28700000000001</v>
      </c>
      <c r="AL25" s="19">
        <v>100</v>
      </c>
    </row>
    <row r="26" spans="1:41" x14ac:dyDescent="0.25">
      <c r="A26" t="s">
        <v>126</v>
      </c>
      <c r="B26" s="4">
        <v>1</v>
      </c>
      <c r="C26" s="4">
        <f>INDEX(Refs[Include],MATCH(Params[[#This Row],[Reference]],Refs[ID],0))</f>
        <v>1</v>
      </c>
      <c r="D26" s="4" t="b">
        <f>Params[[#This Row],[N]]=1</f>
        <v>1</v>
      </c>
      <c r="E26" s="3">
        <v>5</v>
      </c>
      <c r="F26" s="4" t="b">
        <f>AND(Params[[#This Row],[t1,mean]]&gt;Params[[#This Row],[t2,mean]],Params[[#This Row],[k1,mean]]&lt;Params[[#This Row],[k2,mean]])</f>
        <v>0</v>
      </c>
      <c r="G26" s="4" t="b">
        <f>AND(SUM(Params[[#This Row],[k3,mean]:[t3,se]])=0,SUM(Params[[#This Row],[k1,mean]:[k1,se]])&lt;&gt;0,SUM(Params[[#This Row],[k2,mean]:[k2,se]])&lt;&gt;0)</f>
        <v>0</v>
      </c>
      <c r="H26" s="16" t="str">
        <f>IFERROR((Params[[#This Row],[t1,mean]]*Params[[#This Row],[t2,mean]])/(Params[[#This Row],[t1,mean]]-Params[[#This Row],[t2,mean]]) * LN(Params[[#This Row],[k2,mean]]/Params[[#This Row],[k1,mean]]),"-")</f>
        <v>-</v>
      </c>
      <c r="I26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26" s="16" t="str">
        <f>IF(IFERROR(Params[[#This Row],[k2,mean]]/Params[[#This Row],[k1,mean]],"-")=0,"-",IFERROR(Params[[#This Row],[k2,mean]]/Params[[#This Row],[k1,mean]],"-"))</f>
        <v>-</v>
      </c>
      <c r="K26" s="16" t="str">
        <f>IFERROR(Params[[#This Row],[k1,mean]]/Params[[#This Row],[k2,mean]],"-")</f>
        <v>-</v>
      </c>
      <c r="L26" s="16" t="str">
        <f>IFERROR(Params[[#This Row],[t1,mean]]/Params[[#This Row],[t2,mean]],"-")</f>
        <v>-</v>
      </c>
      <c r="M26" s="28">
        <v>290.173</v>
      </c>
      <c r="AH26">
        <v>368.02600000000001</v>
      </c>
      <c r="AI26">
        <v>284.61200000000002</v>
      </c>
      <c r="AL26" s="19">
        <v>100</v>
      </c>
    </row>
    <row r="27" spans="1:41" x14ac:dyDescent="0.25">
      <c r="A27" t="s">
        <v>126</v>
      </c>
      <c r="B27" s="4">
        <v>1</v>
      </c>
      <c r="C27" s="4">
        <f>INDEX(Refs[Include],MATCH(Params[[#This Row],[Reference]],Refs[ID],0))</f>
        <v>1</v>
      </c>
      <c r="D27" s="4" t="b">
        <f>Params[[#This Row],[N]]=1</f>
        <v>1</v>
      </c>
      <c r="E27" s="3">
        <v>6</v>
      </c>
      <c r="F27" s="4" t="b">
        <f>AND(Params[[#This Row],[t1,mean]]&gt;Params[[#This Row],[t2,mean]],Params[[#This Row],[k1,mean]]&lt;Params[[#This Row],[k2,mean]])</f>
        <v>0</v>
      </c>
      <c r="G27" s="4" t="b">
        <f>AND(SUM(Params[[#This Row],[k3,mean]:[t3,se]])=0,SUM(Params[[#This Row],[k1,mean]:[k1,se]])&lt;&gt;0,SUM(Params[[#This Row],[k2,mean]:[k2,se]])&lt;&gt;0)</f>
        <v>0</v>
      </c>
      <c r="H27" s="16" t="str">
        <f>IFERROR((Params[[#This Row],[t1,mean]]*Params[[#This Row],[t2,mean]])/(Params[[#This Row],[t1,mean]]-Params[[#This Row],[t2,mean]]) * LN(Params[[#This Row],[k2,mean]]/Params[[#This Row],[k1,mean]]),"-")</f>
        <v>-</v>
      </c>
      <c r="I27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27" s="16" t="str">
        <f>IF(IFERROR(Params[[#This Row],[k2,mean]]/Params[[#This Row],[k1,mean]],"-")=0,"-",IFERROR(Params[[#This Row],[k2,mean]]/Params[[#This Row],[k1,mean]],"-"))</f>
        <v>-</v>
      </c>
      <c r="K27" s="16" t="str">
        <f>IFERROR(Params[[#This Row],[k1,mean]]/Params[[#This Row],[k2,mean]],"-")</f>
        <v>-</v>
      </c>
      <c r="L27" s="16" t="str">
        <f>IFERROR(Params[[#This Row],[t1,mean]]/Params[[#This Row],[t2,mean]],"-")</f>
        <v>-</v>
      </c>
      <c r="M27" s="28">
        <v>226.167</v>
      </c>
      <c r="AH27">
        <v>320.99</v>
      </c>
      <c r="AI27">
        <v>217.94200000000001</v>
      </c>
      <c r="AL27" s="19">
        <v>100</v>
      </c>
    </row>
    <row r="28" spans="1:41" x14ac:dyDescent="0.25">
      <c r="A28" t="s">
        <v>155</v>
      </c>
      <c r="B28" s="4">
        <v>1</v>
      </c>
      <c r="C28" s="4">
        <f>INDEX(Refs[Include],MATCH(Params[[#This Row],[Reference]],Refs[ID],0))</f>
        <v>0</v>
      </c>
      <c r="D28" s="4" t="b">
        <f>Params[[#This Row],[N]]=1</f>
        <v>1</v>
      </c>
      <c r="E28" s="3" t="s">
        <v>156</v>
      </c>
      <c r="F28" s="4" t="b">
        <f>AND(Params[[#This Row],[t1,mean]]&gt;Params[[#This Row],[t2,mean]],Params[[#This Row],[k1,mean]]&lt;Params[[#This Row],[k2,mean]])</f>
        <v>0</v>
      </c>
      <c r="G28" s="4" t="b">
        <f>AND(SUM(Params[[#This Row],[k3,mean]:[t3,se]])=0,SUM(Params[[#This Row],[k1,mean]:[k1,se]])&lt;&gt;0,SUM(Params[[#This Row],[k2,mean]:[k2,se]])&lt;&gt;0)</f>
        <v>1</v>
      </c>
      <c r="H28" s="16">
        <f>IFERROR((Params[[#This Row],[t1,mean]]*Params[[#This Row],[t2,mean]])/(Params[[#This Row],[t1,mean]]-Params[[#This Row],[t2,mean]]) * LN(Params[[#This Row],[k2,mean]]/Params[[#This Row],[k1,mean]]),"-")</f>
        <v>-3.0655185672858791</v>
      </c>
      <c r="I28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14.387537894850436</v>
      </c>
      <c r="J28" s="16">
        <f>IF(IFERROR(Params[[#This Row],[k2,mean]]/Params[[#This Row],[k1,mean]],"-")=0,"-",IFERROR(Params[[#This Row],[k2,mean]]/Params[[#This Row],[k1,mean]],"-"))</f>
        <v>0.76683937823834192</v>
      </c>
      <c r="K28" s="16">
        <f>IFERROR(Params[[#This Row],[k1,mean]]/Params[[#This Row],[k2,mean]],"-")</f>
        <v>1.3040540540540542</v>
      </c>
      <c r="L28" s="16">
        <f>IFERROR(Params[[#This Row],[t1,mean]]/Params[[#This Row],[t2,mean]],"-")</f>
        <v>4.5333333333333332</v>
      </c>
      <c r="M28" s="28">
        <v>240</v>
      </c>
      <c r="P28" s="29">
        <v>40.799999999999997</v>
      </c>
      <c r="Q28">
        <v>15</v>
      </c>
      <c r="S28" s="30">
        <v>9</v>
      </c>
      <c r="T28">
        <v>6</v>
      </c>
      <c r="V28" s="31">
        <v>1.9300000000000001E-2</v>
      </c>
      <c r="W28">
        <v>5.8999999999999999E-3</v>
      </c>
      <c r="Y28" s="32">
        <v>1.4800000000000001E-2</v>
      </c>
      <c r="Z28">
        <v>8.5000000000000006E-3</v>
      </c>
      <c r="AL28" s="19">
        <v>300</v>
      </c>
    </row>
    <row r="29" spans="1:41" x14ac:dyDescent="0.25">
      <c r="A29" t="s">
        <v>155</v>
      </c>
      <c r="B29" s="4">
        <v>1</v>
      </c>
      <c r="C29" s="4">
        <f>INDEX(Refs[Include],MATCH(Params[[#This Row],[Reference]],Refs[ID],0))</f>
        <v>0</v>
      </c>
      <c r="D29" s="4" t="b">
        <f>Params[[#This Row],[N]]=1</f>
        <v>1</v>
      </c>
      <c r="E29" s="3" t="s">
        <v>157</v>
      </c>
      <c r="F29" s="4" t="b">
        <f>AND(Params[[#This Row],[t1,mean]]&gt;Params[[#This Row],[t2,mean]],Params[[#This Row],[k1,mean]]&lt;Params[[#This Row],[k2,mean]])</f>
        <v>0</v>
      </c>
      <c r="G29" s="4" t="b">
        <f>AND(SUM(Params[[#This Row],[k3,mean]:[t3,se]])=0,SUM(Params[[#This Row],[k1,mean]:[k1,se]])&lt;&gt;0,SUM(Params[[#This Row],[k2,mean]:[k2,se]])&lt;&gt;0)</f>
        <v>1</v>
      </c>
      <c r="H29" s="16">
        <f>IFERROR((Params[[#This Row],[t1,mean]]*Params[[#This Row],[t2,mean]])/(Params[[#This Row],[t1,mean]]-Params[[#This Row],[t2,mean]]) * LN(Params[[#This Row],[k2,mean]]/Params[[#This Row],[k1,mean]]),"-")</f>
        <v>-0.18832640260305183</v>
      </c>
      <c r="I29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20.138101555955515</v>
      </c>
      <c r="J29" s="16">
        <f>IF(IFERROR(Params[[#This Row],[k2,mean]]/Params[[#This Row],[k1,mean]],"-")=0,"-",IFERROR(Params[[#This Row],[k2,mean]]/Params[[#This Row],[k1,mean]],"-"))</f>
        <v>0.99052132701421791</v>
      </c>
      <c r="K29" s="16">
        <f>IFERROR(Params[[#This Row],[k1,mean]]/Params[[#This Row],[k2,mean]],"-")</f>
        <v>1.0095693779904307</v>
      </c>
      <c r="L29" s="16">
        <f>IFERROR(Params[[#This Row],[t1,mean]]/Params[[#This Row],[t2,mean]],"-")</f>
        <v>2.7952755905511815</v>
      </c>
      <c r="P29" s="29">
        <v>35.5</v>
      </c>
      <c r="Q29">
        <v>12.2</v>
      </c>
      <c r="S29" s="30">
        <v>12.7</v>
      </c>
      <c r="T29">
        <v>2.6</v>
      </c>
      <c r="V29" s="31">
        <v>2.1100000000000001E-2</v>
      </c>
      <c r="W29">
        <v>6.4999999999999997E-3</v>
      </c>
      <c r="Y29" s="32">
        <v>2.0899999999999998E-2</v>
      </c>
      <c r="Z29">
        <v>5.5999999999999999E-3</v>
      </c>
      <c r="AL29" s="19">
        <v>300</v>
      </c>
    </row>
    <row r="30" spans="1:41" x14ac:dyDescent="0.25">
      <c r="A30" t="s">
        <v>117</v>
      </c>
      <c r="B30" s="4">
        <v>1</v>
      </c>
      <c r="C30" s="4">
        <f>INDEX(Refs[Include],MATCH(Params[[#This Row],[Reference]],Refs[ID],0))</f>
        <v>1</v>
      </c>
      <c r="D30" s="4" t="b">
        <f>Params[[#This Row],[N]]=1</f>
        <v>1</v>
      </c>
      <c r="E30" s="3">
        <v>1</v>
      </c>
      <c r="F30" s="4" t="b">
        <f>AND(Params[[#This Row],[t1,mean]]&gt;Params[[#This Row],[t2,mean]],Params[[#This Row],[k1,mean]]&lt;Params[[#This Row],[k2,mean]])</f>
        <v>1</v>
      </c>
      <c r="G30" s="4" t="b">
        <f>AND(SUM(Params[[#This Row],[k3,mean]:[t3,se]])=0,SUM(Params[[#This Row],[k1,mean]:[k1,se]])&lt;&gt;0,SUM(Params[[#This Row],[k2,mean]:[k2,se]])&lt;&gt;0)</f>
        <v>1</v>
      </c>
      <c r="H30" s="16">
        <f>IFERROR((Params[[#This Row],[t1,mean]]*Params[[#This Row],[t2,mean]])/(Params[[#This Row],[t1,mean]]-Params[[#This Row],[t2,mean]]) * LN(Params[[#This Row],[k2,mean]]/Params[[#This Row],[k1,mean]]),"-")</f>
        <v>30.015657172539431</v>
      </c>
      <c r="I30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56.611678475085476</v>
      </c>
      <c r="J30" s="16">
        <f>IF(IFERROR(Params[[#This Row],[k2,mean]]/Params[[#This Row],[k1,mean]],"-")=0,"-",IFERROR(Params[[#This Row],[k2,mean]]/Params[[#This Row],[k1,mean]],"-"))</f>
        <v>3</v>
      </c>
      <c r="K30" s="16">
        <f>IFERROR(Params[[#This Row],[k1,mean]]/Params[[#This Row],[k2,mean]],"-")</f>
        <v>0.33333333333333337</v>
      </c>
      <c r="L30" s="16">
        <f>IFERROR(Params[[#This Row],[t1,mean]]/Params[[#This Row],[t2,mean]],"-")</f>
        <v>2.6470588235294117</v>
      </c>
      <c r="M30" s="28">
        <v>94.2</v>
      </c>
      <c r="P30" s="29">
        <v>45</v>
      </c>
      <c r="S30" s="30">
        <v>17</v>
      </c>
      <c r="V30" s="31">
        <v>0.01</v>
      </c>
      <c r="Y30" s="32">
        <v>0.03</v>
      </c>
      <c r="AH30">
        <v>94.47</v>
      </c>
      <c r="AN30" s="19">
        <v>195</v>
      </c>
      <c r="AO30">
        <v>38</v>
      </c>
    </row>
    <row r="31" spans="1:41" x14ac:dyDescent="0.25">
      <c r="A31" t="s">
        <v>117</v>
      </c>
      <c r="B31" s="4">
        <v>1</v>
      </c>
      <c r="C31" s="4">
        <f>INDEX(Refs[Include],MATCH(Params[[#This Row],[Reference]],Refs[ID],0))</f>
        <v>1</v>
      </c>
      <c r="D31" s="4" t="b">
        <f>Params[[#This Row],[N]]=1</f>
        <v>1</v>
      </c>
      <c r="E31" s="3">
        <v>2</v>
      </c>
      <c r="F31" s="4" t="b">
        <f>AND(Params[[#This Row],[t1,mean]]&gt;Params[[#This Row],[t2,mean]],Params[[#This Row],[k1,mean]]&lt;Params[[#This Row],[k2,mean]])</f>
        <v>1</v>
      </c>
      <c r="G31" s="4" t="b">
        <f>AND(SUM(Params[[#This Row],[k3,mean]:[t3,se]])=0,SUM(Params[[#This Row],[k1,mean]:[k1,se]])&lt;&gt;0,SUM(Params[[#This Row],[k2,mean]:[k2,se]])&lt;&gt;0)</f>
        <v>1</v>
      </c>
      <c r="H31" s="16">
        <f>IFERROR((Params[[#This Row],[t1,mean]]*Params[[#This Row],[t2,mean]])/(Params[[#This Row],[t1,mean]]-Params[[#This Row],[t2,mean]]) * LN(Params[[#This Row],[k2,mean]]/Params[[#This Row],[k1,mean]]),"-")</f>
        <v>13.077723373489684</v>
      </c>
      <c r="I31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31.561648188421561</v>
      </c>
      <c r="J31" s="16">
        <f>IF(IFERROR(Params[[#This Row],[k2,mean]]/Params[[#This Row],[k1,mean]],"-")=0,"-",IFERROR(Params[[#This Row],[k2,mean]]/Params[[#This Row],[k1,mean]],"-"))</f>
        <v>2.666666666666667</v>
      </c>
      <c r="K31" s="16">
        <f>IFERROR(Params[[#This Row],[k1,mean]]/Params[[#This Row],[k2,mean]],"-")</f>
        <v>0.375</v>
      </c>
      <c r="L31" s="16">
        <f>IFERROR(Params[[#This Row],[t1,mean]]/Params[[#This Row],[t2,mean]],"-")</f>
        <v>4</v>
      </c>
      <c r="M31" s="28">
        <v>95.4</v>
      </c>
      <c r="P31" s="29">
        <v>40</v>
      </c>
      <c r="S31" s="30">
        <v>10</v>
      </c>
      <c r="V31" s="31">
        <v>0.03</v>
      </c>
      <c r="Y31" s="32">
        <v>0.08</v>
      </c>
      <c r="AH31">
        <v>95.78</v>
      </c>
      <c r="AN31" s="19">
        <v>195</v>
      </c>
      <c r="AO31">
        <v>57</v>
      </c>
    </row>
    <row r="32" spans="1:41" x14ac:dyDescent="0.25">
      <c r="A32" t="s">
        <v>117</v>
      </c>
      <c r="B32" s="4">
        <v>1</v>
      </c>
      <c r="C32" s="4">
        <f>INDEX(Refs[Include],MATCH(Params[[#This Row],[Reference]],Refs[ID],0))</f>
        <v>1</v>
      </c>
      <c r="D32" s="4" t="b">
        <f>Params[[#This Row],[N]]=1</f>
        <v>1</v>
      </c>
      <c r="E32" s="3">
        <v>3</v>
      </c>
      <c r="F32" s="4" t="b">
        <f>AND(Params[[#This Row],[t1,mean]]&gt;Params[[#This Row],[t2,mean]],Params[[#This Row],[k1,mean]]&lt;Params[[#This Row],[k2,mean]])</f>
        <v>1</v>
      </c>
      <c r="G32" s="4" t="b">
        <f>AND(SUM(Params[[#This Row],[k3,mean]:[t3,se]])=0,SUM(Params[[#This Row],[k1,mean]:[k1,se]])&lt;&gt;0,SUM(Params[[#This Row],[k2,mean]:[k2,se]])&lt;&gt;0)</f>
        <v>1</v>
      </c>
      <c r="H32" s="16">
        <f>IFERROR((Params[[#This Row],[t1,mean]]*Params[[#This Row],[t2,mean]])/(Params[[#This Row],[t1,mean]]-Params[[#This Row],[t2,mean]]) * LN(Params[[#This Row],[k2,mean]]/Params[[#This Row],[k1,mean]]),"-")</f>
        <v>20.507429388471383</v>
      </c>
      <c r="I32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46.38492412937601</v>
      </c>
      <c r="J32" s="16">
        <f>IF(IFERROR(Params[[#This Row],[k2,mean]]/Params[[#This Row],[k1,mean]],"-")=0,"-",IFERROR(Params[[#This Row],[k2,mean]]/Params[[#This Row],[k1,mean]],"-"))</f>
        <v>3</v>
      </c>
      <c r="K32" s="16">
        <f>IFERROR(Params[[#This Row],[k1,mean]]/Params[[#This Row],[k2,mean]],"-")</f>
        <v>0.33333333333333337</v>
      </c>
      <c r="L32" s="16">
        <f>IFERROR(Params[[#This Row],[t1,mean]]/Params[[#This Row],[t2,mean]],"-")</f>
        <v>4</v>
      </c>
      <c r="M32" s="28">
        <v>96.2</v>
      </c>
      <c r="P32" s="29">
        <v>56</v>
      </c>
      <c r="S32" s="30">
        <v>14</v>
      </c>
      <c r="V32" s="31">
        <v>0.01</v>
      </c>
      <c r="Y32" s="32">
        <v>0.03</v>
      </c>
      <c r="AH32">
        <v>97.76</v>
      </c>
      <c r="AN32" s="19">
        <v>195</v>
      </c>
      <c r="AO32">
        <v>62</v>
      </c>
    </row>
    <row r="33" spans="1:42" x14ac:dyDescent="0.25">
      <c r="A33" t="s">
        <v>117</v>
      </c>
      <c r="B33" s="4">
        <v>1</v>
      </c>
      <c r="C33" s="4">
        <f>INDEX(Refs[Include],MATCH(Params[[#This Row],[Reference]],Refs[ID],0))</f>
        <v>1</v>
      </c>
      <c r="D33" s="4" t="b">
        <f>Params[[#This Row],[N]]=1</f>
        <v>1</v>
      </c>
      <c r="E33" s="3">
        <v>4</v>
      </c>
      <c r="F33" s="4" t="b">
        <f>AND(Params[[#This Row],[t1,mean]]&gt;Params[[#This Row],[t2,mean]],Params[[#This Row],[k1,mean]]&lt;Params[[#This Row],[k2,mean]])</f>
        <v>1</v>
      </c>
      <c r="G33" s="4" t="b">
        <f>AND(SUM(Params[[#This Row],[k3,mean]:[t3,se]])=0,SUM(Params[[#This Row],[k1,mean]:[k1,se]])&lt;&gt;0,SUM(Params[[#This Row],[k2,mean]:[k2,se]])&lt;&gt;0)</f>
        <v>1</v>
      </c>
      <c r="H33" s="16">
        <f>IFERROR((Params[[#This Row],[t1,mean]]*Params[[#This Row],[t2,mean]])/(Params[[#This Row],[t1,mean]]-Params[[#This Row],[t2,mean]]) * LN(Params[[#This Row],[k2,mean]]/Params[[#This Row],[k1,mean]]),"-")</f>
        <v>51.374438088560652</v>
      </c>
      <c r="I33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86.540147164433961</v>
      </c>
      <c r="J33" s="16">
        <f>IF(IFERROR(Params[[#This Row],[k2,mean]]/Params[[#This Row],[k1,mean]],"-")=0,"-",IFERROR(Params[[#This Row],[k2,mean]]/Params[[#This Row],[k1,mean]],"-"))</f>
        <v>2</v>
      </c>
      <c r="K33" s="16">
        <f>IFERROR(Params[[#This Row],[k1,mean]]/Params[[#This Row],[k2,mean]],"-")</f>
        <v>0.5</v>
      </c>
      <c r="L33" s="16">
        <f>IFERROR(Params[[#This Row],[t1,mean]]/Params[[#This Row],[t2,mean]],"-")</f>
        <v>1.6071428571428572</v>
      </c>
      <c r="M33" s="28">
        <v>97.3</v>
      </c>
      <c r="P33" s="29">
        <v>45</v>
      </c>
      <c r="S33" s="30">
        <v>28</v>
      </c>
      <c r="V33" s="31">
        <v>0.01</v>
      </c>
      <c r="Y33" s="32">
        <v>0.02</v>
      </c>
      <c r="AH33">
        <v>98.57</v>
      </c>
      <c r="AN33" s="19">
        <v>195</v>
      </c>
      <c r="AO33">
        <v>41</v>
      </c>
    </row>
    <row r="34" spans="1:42" x14ac:dyDescent="0.25">
      <c r="A34" t="s">
        <v>117</v>
      </c>
      <c r="B34" s="4">
        <v>1</v>
      </c>
      <c r="C34" s="4">
        <f>INDEX(Refs[Include],MATCH(Params[[#This Row],[Reference]],Refs[ID],0))</f>
        <v>1</v>
      </c>
      <c r="D34" s="4" t="b">
        <f>Params[[#This Row],[N]]=1</f>
        <v>1</v>
      </c>
      <c r="E34" s="3">
        <v>5</v>
      </c>
      <c r="F34" s="4" t="b">
        <f>AND(Params[[#This Row],[t1,mean]]&gt;Params[[#This Row],[t2,mean]],Params[[#This Row],[k1,mean]]&lt;Params[[#This Row],[k2,mean]])</f>
        <v>1</v>
      </c>
      <c r="G34" s="4" t="b">
        <f>AND(SUM(Params[[#This Row],[k3,mean]:[t3,se]])=0,SUM(Params[[#This Row],[k1,mean]:[k1,se]])&lt;&gt;0,SUM(Params[[#This Row],[k2,mean]:[k2,se]])&lt;&gt;0)</f>
        <v>1</v>
      </c>
      <c r="H34" s="16">
        <f>IFERROR((Params[[#This Row],[t1,mean]]*Params[[#This Row],[t2,mean]])/(Params[[#This Row],[t1,mean]]-Params[[#This Row],[t2,mean]]) * LN(Params[[#This Row],[k2,mean]]/Params[[#This Row],[k1,mean]]),"-")</f>
        <v>28.24730720774954</v>
      </c>
      <c r="I34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53.944195227877678</v>
      </c>
      <c r="J34" s="16">
        <f>IF(IFERROR(Params[[#This Row],[k2,mean]]/Params[[#This Row],[k1,mean]],"-")=0,"-",IFERROR(Params[[#This Row],[k2,mean]]/Params[[#This Row],[k1,mean]],"-"))</f>
        <v>4.5</v>
      </c>
      <c r="K34" s="16">
        <f>IFERROR(Params[[#This Row],[k1,mean]]/Params[[#This Row],[k2,mean]],"-")</f>
        <v>0.22222222222222224</v>
      </c>
      <c r="L34" s="16">
        <f>IFERROR(Params[[#This Row],[t1,mean]]/Params[[#This Row],[t2,mean]],"-")</f>
        <v>3.9285714285714284</v>
      </c>
      <c r="M34" s="28">
        <v>93.3</v>
      </c>
      <c r="P34" s="29">
        <v>55</v>
      </c>
      <c r="S34" s="30">
        <v>14</v>
      </c>
      <c r="V34" s="31">
        <v>0.02</v>
      </c>
      <c r="Y34" s="32">
        <v>0.09</v>
      </c>
      <c r="AH34">
        <v>93.679999999999993</v>
      </c>
      <c r="AN34" s="19">
        <v>195</v>
      </c>
      <c r="AO34">
        <v>51</v>
      </c>
    </row>
    <row r="35" spans="1:42" x14ac:dyDescent="0.25">
      <c r="A35" t="s">
        <v>117</v>
      </c>
      <c r="B35" s="4">
        <v>1</v>
      </c>
      <c r="C35" s="4">
        <f>INDEX(Refs[Include],MATCH(Params[[#This Row],[Reference]],Refs[ID],0))</f>
        <v>1</v>
      </c>
      <c r="D35" s="4" t="b">
        <f>Params[[#This Row],[N]]=1</f>
        <v>1</v>
      </c>
      <c r="E35" s="3">
        <v>6</v>
      </c>
      <c r="F35" s="4" t="b">
        <f>AND(Params[[#This Row],[t1,mean]]&gt;Params[[#This Row],[t2,mean]],Params[[#This Row],[k1,mean]]&lt;Params[[#This Row],[k2,mean]])</f>
        <v>1</v>
      </c>
      <c r="G35" s="4" t="b">
        <f>AND(SUM(Params[[#This Row],[k3,mean]:[t3,se]])=0,SUM(Params[[#This Row],[k1,mean]:[k1,se]])&lt;&gt;0,SUM(Params[[#This Row],[k2,mean]:[k2,se]])&lt;&gt;0)</f>
        <v>1</v>
      </c>
      <c r="H35" s="16">
        <f>IFERROR((Params[[#This Row],[t1,mean]]*Params[[#This Row],[t2,mean]])/(Params[[#This Row],[t1,mean]]-Params[[#This Row],[t2,mean]]) * LN(Params[[#This Row],[k2,mean]]/Params[[#This Row],[k1,mean]]),"-")</f>
        <v>53.75278407684165</v>
      </c>
      <c r="I35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81.241506033066301</v>
      </c>
      <c r="J35" s="16">
        <f>IF(IFERROR(Params[[#This Row],[k2,mean]]/Params[[#This Row],[k1,mean]],"-")=0,"-",IFERROR(Params[[#This Row],[k2,mean]]/Params[[#This Row],[k1,mean]],"-"))</f>
        <v>6</v>
      </c>
      <c r="K35" s="16">
        <f>IFERROR(Params[[#This Row],[k1,mean]]/Params[[#This Row],[k2,mean]],"-")</f>
        <v>0.16666666666666669</v>
      </c>
      <c r="L35" s="16">
        <f>IFERROR(Params[[#This Row],[t1,mean]]/Params[[#This Row],[t2,mean]],"-")</f>
        <v>2.5</v>
      </c>
      <c r="M35" s="28">
        <v>90.3</v>
      </c>
      <c r="P35" s="29">
        <v>45</v>
      </c>
      <c r="S35" s="30">
        <v>18</v>
      </c>
      <c r="V35" s="31">
        <v>0.01</v>
      </c>
      <c r="Y35" s="32">
        <v>0.06</v>
      </c>
      <c r="AH35">
        <v>91.86</v>
      </c>
      <c r="AN35" s="19">
        <v>195</v>
      </c>
      <c r="AO35">
        <v>52</v>
      </c>
    </row>
    <row r="36" spans="1:42" x14ac:dyDescent="0.25">
      <c r="A36" t="s">
        <v>117</v>
      </c>
      <c r="B36" s="4">
        <v>1</v>
      </c>
      <c r="C36" s="4">
        <f>INDEX(Refs[Include],MATCH(Params[[#This Row],[Reference]],Refs[ID],0))</f>
        <v>1</v>
      </c>
      <c r="D36" s="4" t="b">
        <f>Params[[#This Row],[N]]=1</f>
        <v>1</v>
      </c>
      <c r="E36" s="3">
        <v>7</v>
      </c>
      <c r="F36" s="4" t="b">
        <f>AND(Params[[#This Row],[t1,mean]]&gt;Params[[#This Row],[t2,mean]],Params[[#This Row],[k1,mean]]&lt;Params[[#This Row],[k2,mean]])</f>
        <v>1</v>
      </c>
      <c r="G36" s="4" t="b">
        <f>AND(SUM(Params[[#This Row],[k3,mean]:[t3,se]])=0,SUM(Params[[#This Row],[k1,mean]:[k1,se]])&lt;&gt;0,SUM(Params[[#This Row],[k2,mean]:[k2,se]])&lt;&gt;0)</f>
        <v>1</v>
      </c>
      <c r="H36" s="16">
        <f>IFERROR((Params[[#This Row],[t1,mean]]*Params[[#This Row],[t2,mean]])/(Params[[#This Row],[t1,mean]]-Params[[#This Row],[t2,mean]]) * LN(Params[[#This Row],[k2,mean]]/Params[[#This Row],[k1,mean]]),"-")</f>
        <v>139.8970403588695</v>
      </c>
      <c r="I36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184.06558919275702</v>
      </c>
      <c r="J36" s="16">
        <f>IF(IFERROR(Params[[#This Row],[k2,mean]]/Params[[#This Row],[k1,mean]],"-")=0,"-",IFERROR(Params[[#This Row],[k2,mean]]/Params[[#This Row],[k1,mean]],"-"))</f>
        <v>7.0000000000000009</v>
      </c>
      <c r="K36" s="16">
        <f>IFERROR(Params[[#This Row],[k1,mean]]/Params[[#This Row],[k2,mean]],"-")</f>
        <v>0.14285714285714285</v>
      </c>
      <c r="L36" s="16">
        <f>IFERROR(Params[[#This Row],[t1,mean]]/Params[[#This Row],[t2,mean]],"-")</f>
        <v>1.8484848484848484</v>
      </c>
      <c r="M36" s="28">
        <v>91.5</v>
      </c>
      <c r="P36" s="29">
        <v>61</v>
      </c>
      <c r="S36" s="30">
        <v>33</v>
      </c>
      <c r="V36" s="31">
        <v>0.01</v>
      </c>
      <c r="Y36" s="32">
        <v>7.0000000000000007E-2</v>
      </c>
      <c r="AH36">
        <v>91.77</v>
      </c>
      <c r="AN36" s="19">
        <v>195</v>
      </c>
      <c r="AO36">
        <v>41</v>
      </c>
    </row>
    <row r="37" spans="1:42" x14ac:dyDescent="0.25">
      <c r="A37" s="6" t="s">
        <v>174</v>
      </c>
      <c r="B37" s="9">
        <v>1</v>
      </c>
      <c r="C37" s="9">
        <f>INDEX(Refs[Include],MATCH(Params[[#This Row],[Reference]],Refs[ID],0))</f>
        <v>0</v>
      </c>
      <c r="D37" s="9" t="b">
        <f>Params[[#This Row],[N]]=1</f>
        <v>1</v>
      </c>
      <c r="E37" s="3">
        <v>1</v>
      </c>
      <c r="F37" s="4" t="b">
        <f>AND(Params[[#This Row],[t1,mean]]&gt;Params[[#This Row],[t2,mean]],Params[[#This Row],[k1,mean]]&lt;Params[[#This Row],[k2,mean]])</f>
        <v>1</v>
      </c>
      <c r="G37" s="4" t="b">
        <f>AND(SUM(Params[[#This Row],[k3,mean]:[t3,se]])=0,SUM(Params[[#This Row],[k1,mean]:[k1,se]])&lt;&gt;0,SUM(Params[[#This Row],[k2,mean]:[k2,se]])&lt;&gt;0)</f>
        <v>1</v>
      </c>
      <c r="H37" s="16">
        <f>IFERROR((Params[[#This Row],[t1,mean]]*Params[[#This Row],[t2,mean]])/(Params[[#This Row],[t1,mean]]-Params[[#This Row],[t2,mean]]) * LN(Params[[#This Row],[k2,mean]]/Params[[#This Row],[k1,mean]]),"-")</f>
        <v>11.882523095313347</v>
      </c>
      <c r="I37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23.765046190626695</v>
      </c>
      <c r="J37" s="16">
        <f>IF(IFERROR(Params[[#This Row],[k2,mean]]/Params[[#This Row],[k1,mean]],"-")=0,"-",IFERROR(Params[[#This Row],[k2,mean]]/Params[[#This Row],[k1,mean]],"-"))</f>
        <v>8</v>
      </c>
      <c r="K37" s="16">
        <f>IFERROR(Params[[#This Row],[k1,mean]]/Params[[#This Row],[k2,mean]],"-")</f>
        <v>0.125</v>
      </c>
      <c r="L37" s="16">
        <f>IFERROR(Params[[#This Row],[t1,mean]]/Params[[#This Row],[t2,mean]],"-")</f>
        <v>8</v>
      </c>
      <c r="M37" s="28">
        <v>0.92</v>
      </c>
      <c r="P37" s="29">
        <v>40</v>
      </c>
      <c r="S37" s="30">
        <v>5</v>
      </c>
      <c r="V37" s="31">
        <v>2E-3</v>
      </c>
      <c r="Y37" s="32">
        <v>1.6E-2</v>
      </c>
      <c r="AL37">
        <f>Params[[#This Row],[Volume]]/Params[[#This Row],[Duration]]</f>
        <v>3.3380952380952382</v>
      </c>
      <c r="AN37" s="19">
        <f>60*7</f>
        <v>420</v>
      </c>
      <c r="AO37">
        <v>11</v>
      </c>
      <c r="AP37">
        <v>1402</v>
      </c>
    </row>
    <row r="38" spans="1:42" x14ac:dyDescent="0.25">
      <c r="A38" s="6" t="s">
        <v>174</v>
      </c>
      <c r="B38" s="9">
        <v>1</v>
      </c>
      <c r="C38" s="9">
        <f>INDEX(Refs[Include],MATCH(Params[[#This Row],[Reference]],Refs[ID],0))</f>
        <v>0</v>
      </c>
      <c r="D38" s="9" t="b">
        <f>Params[[#This Row],[N]]=1</f>
        <v>1</v>
      </c>
      <c r="E38" s="3">
        <v>2</v>
      </c>
      <c r="F38" s="4" t="b">
        <f>AND(Params[[#This Row],[t1,mean]]&gt;Params[[#This Row],[t2,mean]],Params[[#This Row],[k1,mean]]&lt;Params[[#This Row],[k2,mean]])</f>
        <v>1</v>
      </c>
      <c r="G38" s="4" t="b">
        <f>AND(SUM(Params[[#This Row],[k3,mean]:[t3,se]])=0,SUM(Params[[#This Row],[k1,mean]:[k1,se]])&lt;&gt;0,SUM(Params[[#This Row],[k2,mean]:[k2,se]])&lt;&gt;0)</f>
        <v>1</v>
      </c>
      <c r="H38" s="16">
        <f>IFERROR((Params[[#This Row],[t1,mean]]*Params[[#This Row],[t2,mean]])/(Params[[#This Row],[t1,mean]]-Params[[#This Row],[t2,mean]]) * LN(Params[[#This Row],[k2,mean]]/Params[[#This Row],[k1,mean]]),"-")</f>
        <v>14.040691682846759</v>
      </c>
      <c r="I38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25.985058736263149</v>
      </c>
      <c r="J38" s="16">
        <f>IF(IFERROR(Params[[#This Row],[k2,mean]]/Params[[#This Row],[k1,mean]],"-")=0,"-",IFERROR(Params[[#This Row],[k2,mean]]/Params[[#This Row],[k1,mean]],"-"))</f>
        <v>1.2169811320754718</v>
      </c>
      <c r="K38" s="16">
        <f>IFERROR(Params[[#This Row],[k1,mean]]/Params[[#This Row],[k2,mean]],"-")</f>
        <v>0.82170542635658905</v>
      </c>
      <c r="L38" s="16">
        <f>IFERROR(Params[[#This Row],[t1,mean]]/Params[[#This Row],[t2,mean]],"-")</f>
        <v>1.1818181818181819</v>
      </c>
      <c r="M38" s="28">
        <v>0.95</v>
      </c>
      <c r="P38" s="29">
        <v>13</v>
      </c>
      <c r="S38" s="30">
        <v>11</v>
      </c>
      <c r="V38" s="31">
        <v>0.106</v>
      </c>
      <c r="Y38" s="32">
        <v>0.129</v>
      </c>
      <c r="AL38">
        <f>Params[[#This Row],[Volume]]/Params[[#This Row],[Duration]]</f>
        <v>4.4190476190476193</v>
      </c>
      <c r="AN38" s="19">
        <f t="shared" ref="AN38:AN45" si="0">60*7</f>
        <v>420</v>
      </c>
      <c r="AO38">
        <v>12</v>
      </c>
      <c r="AP38">
        <v>1856</v>
      </c>
    </row>
    <row r="39" spans="1:42" x14ac:dyDescent="0.25">
      <c r="A39" s="6" t="s">
        <v>174</v>
      </c>
      <c r="B39" s="9">
        <v>1</v>
      </c>
      <c r="C39" s="9">
        <f>INDEX(Refs[Include],MATCH(Params[[#This Row],[Reference]],Refs[ID],0))</f>
        <v>0</v>
      </c>
      <c r="D39" s="9" t="b">
        <f>Params[[#This Row],[N]]=1</f>
        <v>1</v>
      </c>
      <c r="E39" s="3">
        <v>3</v>
      </c>
      <c r="F39" s="4" t="b">
        <f>AND(Params[[#This Row],[t1,mean]]&gt;Params[[#This Row],[t2,mean]],Params[[#This Row],[k1,mean]]&lt;Params[[#This Row],[k2,mean]])</f>
        <v>1</v>
      </c>
      <c r="G39" s="4" t="b">
        <f>AND(SUM(Params[[#This Row],[k3,mean]:[t3,se]])=0,SUM(Params[[#This Row],[k1,mean]:[k1,se]])&lt;&gt;0,SUM(Params[[#This Row],[k2,mean]:[k2,se]])&lt;&gt;0)</f>
        <v>1</v>
      </c>
      <c r="H39" s="16">
        <f>IFERROR((Params[[#This Row],[t1,mean]]*Params[[#This Row],[t2,mean]])/(Params[[#This Row],[t1,mean]]-Params[[#This Row],[t2,mean]]) * LN(Params[[#This Row],[k2,mean]]/Params[[#This Row],[k1,mean]]),"-")</f>
        <v>30.834445669569316</v>
      </c>
      <c r="I39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60.634043945698778</v>
      </c>
      <c r="J39" s="16">
        <f>IF(IFERROR(Params[[#This Row],[k2,mean]]/Params[[#This Row],[k1,mean]],"-")=0,"-",IFERROR(Params[[#This Row],[k2,mean]]/Params[[#This Row],[k1,mean]],"-"))</f>
        <v>1.2307692307692308</v>
      </c>
      <c r="K39" s="16">
        <f>IFERROR(Params[[#This Row],[k1,mean]]/Params[[#This Row],[k2,mean]],"-")</f>
        <v>0.8125</v>
      </c>
      <c r="L39" s="16">
        <f>IFERROR(Params[[#This Row],[t1,mean]]/Params[[#This Row],[t2,mean]],"-")</f>
        <v>1.2222222222222223</v>
      </c>
      <c r="M39" s="28">
        <v>0.97</v>
      </c>
      <c r="P39" s="29">
        <v>33</v>
      </c>
      <c r="S39" s="30">
        <v>27</v>
      </c>
      <c r="V39" s="31">
        <v>3.9E-2</v>
      </c>
      <c r="Y39" s="32">
        <v>4.8000000000000001E-2</v>
      </c>
      <c r="AL39">
        <f>Params[[#This Row],[Volume]]/Params[[#This Row],[Duration]]</f>
        <v>3.9928571428571429</v>
      </c>
      <c r="AN39" s="19">
        <f t="shared" si="0"/>
        <v>420</v>
      </c>
      <c r="AO39">
        <v>21</v>
      </c>
      <c r="AP39">
        <v>1677</v>
      </c>
    </row>
    <row r="40" spans="1:42" x14ac:dyDescent="0.25">
      <c r="A40" s="6" t="s">
        <v>174</v>
      </c>
      <c r="B40" s="9">
        <v>1</v>
      </c>
      <c r="C40" s="9">
        <f>INDEX(Refs[Include],MATCH(Params[[#This Row],[Reference]],Refs[ID],0))</f>
        <v>0</v>
      </c>
      <c r="D40" s="9" t="b">
        <f>Params[[#This Row],[N]]=1</f>
        <v>1</v>
      </c>
      <c r="E40" s="3">
        <v>4</v>
      </c>
      <c r="F40" s="4" t="b">
        <f>AND(Params[[#This Row],[t1,mean]]&gt;Params[[#This Row],[t2,mean]],Params[[#This Row],[k1,mean]]&lt;Params[[#This Row],[k2,mean]])</f>
        <v>1</v>
      </c>
      <c r="G40" s="4" t="b">
        <f>AND(SUM(Params[[#This Row],[k3,mean]:[t3,se]])=0,SUM(Params[[#This Row],[k1,mean]:[k1,se]])&lt;&gt;0,SUM(Params[[#This Row],[k2,mean]:[k2,se]])&lt;&gt;0)</f>
        <v>1</v>
      </c>
      <c r="H40" s="16">
        <f>IFERROR((Params[[#This Row],[t1,mean]]*Params[[#This Row],[t2,mean]])/(Params[[#This Row],[t1,mean]]-Params[[#This Row],[t2,mean]]) * LN(Params[[#This Row],[k2,mean]]/Params[[#This Row],[k1,mean]]),"-")</f>
        <v>23.720248266271255</v>
      </c>
      <c r="I40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46.871173969583062</v>
      </c>
      <c r="J40" s="16">
        <f>IF(IFERROR(Params[[#This Row],[k2,mean]]/Params[[#This Row],[k1,mean]],"-")=0,"-",IFERROR(Params[[#This Row],[k2,mean]]/Params[[#This Row],[k1,mean]],"-"))</f>
        <v>1.36</v>
      </c>
      <c r="K40" s="16">
        <f>IFERROR(Params[[#This Row],[k1,mean]]/Params[[#This Row],[k2,mean]],"-")</f>
        <v>0.73529411764705876</v>
      </c>
      <c r="L40" s="16">
        <f>IFERROR(Params[[#This Row],[t1,mean]]/Params[[#This Row],[t2,mean]],"-")</f>
        <v>1.35</v>
      </c>
      <c r="M40" s="28">
        <v>0.97</v>
      </c>
      <c r="P40" s="29">
        <v>27</v>
      </c>
      <c r="S40" s="30">
        <v>20</v>
      </c>
      <c r="V40" s="31">
        <v>0.05</v>
      </c>
      <c r="Y40" s="32">
        <v>6.8000000000000005E-2</v>
      </c>
      <c r="AL40">
        <f>Params[[#This Row],[Volume]]/Params[[#This Row],[Duration]]</f>
        <v>4.1690476190476193</v>
      </c>
      <c r="AN40" s="19">
        <f t="shared" si="0"/>
        <v>420</v>
      </c>
      <c r="AO40">
        <v>12</v>
      </c>
      <c r="AP40">
        <v>1751</v>
      </c>
    </row>
    <row r="41" spans="1:42" x14ac:dyDescent="0.25">
      <c r="A41" s="6" t="s">
        <v>174</v>
      </c>
      <c r="B41" s="9">
        <v>1</v>
      </c>
      <c r="C41" s="9">
        <f>INDEX(Refs[Include],MATCH(Params[[#This Row],[Reference]],Refs[ID],0))</f>
        <v>0</v>
      </c>
      <c r="D41" s="9" t="b">
        <f>Params[[#This Row],[N]]=1</f>
        <v>1</v>
      </c>
      <c r="E41" s="3">
        <v>5</v>
      </c>
      <c r="F41" s="4" t="b">
        <f>AND(Params[[#This Row],[t1,mean]]&gt;Params[[#This Row],[t2,mean]],Params[[#This Row],[k1,mean]]&lt;Params[[#This Row],[k2,mean]])</f>
        <v>1</v>
      </c>
      <c r="G41" s="4" t="b">
        <f>AND(SUM(Params[[#This Row],[k3,mean]:[t3,se]])=0,SUM(Params[[#This Row],[k1,mean]:[k1,se]])&lt;&gt;0,SUM(Params[[#This Row],[k2,mean]:[k2,se]])&lt;&gt;0)</f>
        <v>1</v>
      </c>
      <c r="H41" s="16">
        <f>IFERROR((Params[[#This Row],[t1,mean]]*Params[[#This Row],[t2,mean]])/(Params[[#This Row],[t1,mean]]-Params[[#This Row],[t2,mean]]) * LN(Params[[#This Row],[k2,mean]]/Params[[#This Row],[k1,mean]]),"-")</f>
        <v>22.975210336583938</v>
      </c>
      <c r="I41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40.460592323359705</v>
      </c>
      <c r="J41" s="16">
        <f>IF(IFERROR(Params[[#This Row],[k2,mean]]/Params[[#This Row],[k1,mean]],"-")=0,"-",IFERROR(Params[[#This Row],[k2,mean]]/Params[[#This Row],[k1,mean]],"-"))</f>
        <v>7.333333333333333</v>
      </c>
      <c r="K41" s="16">
        <f>IFERROR(Params[[#This Row],[k1,mean]]/Params[[#This Row],[k2,mean]],"-")</f>
        <v>0.13636363636363638</v>
      </c>
      <c r="L41" s="16">
        <f>IFERROR(Params[[#This Row],[t1,mean]]/Params[[#This Row],[t2,mean]],"-")</f>
        <v>4.5555555555555554</v>
      </c>
      <c r="M41" s="28">
        <v>0.98</v>
      </c>
      <c r="P41" s="29">
        <v>41</v>
      </c>
      <c r="S41" s="30">
        <v>9</v>
      </c>
      <c r="V41" s="31">
        <v>3.0000000000000001E-3</v>
      </c>
      <c r="Y41" s="32">
        <v>2.1999999999999999E-2</v>
      </c>
      <c r="AL41">
        <f>Params[[#This Row],[Volume]]/Params[[#This Row],[Duration]]</f>
        <v>3.1904761904761907</v>
      </c>
      <c r="AN41" s="19">
        <f t="shared" si="0"/>
        <v>420</v>
      </c>
      <c r="AO41">
        <v>14</v>
      </c>
      <c r="AP41">
        <v>1340</v>
      </c>
    </row>
    <row r="42" spans="1:42" x14ac:dyDescent="0.25">
      <c r="A42" s="6" t="s">
        <v>174</v>
      </c>
      <c r="B42" s="9">
        <v>1</v>
      </c>
      <c r="C42" s="9">
        <f>INDEX(Refs[Include],MATCH(Params[[#This Row],[Reference]],Refs[ID],0))</f>
        <v>0</v>
      </c>
      <c r="D42" s="9" t="b">
        <f>Params[[#This Row],[N]]=1</f>
        <v>1</v>
      </c>
      <c r="E42" s="3">
        <v>6</v>
      </c>
      <c r="F42" s="4" t="b">
        <f>AND(Params[[#This Row],[t1,mean]]&gt;Params[[#This Row],[t2,mean]],Params[[#This Row],[k1,mean]]&lt;Params[[#This Row],[k2,mean]])</f>
        <v>1</v>
      </c>
      <c r="G42" s="4" t="b">
        <f>AND(SUM(Params[[#This Row],[k3,mean]:[t3,se]])=0,SUM(Params[[#This Row],[k1,mean]:[k1,se]])&lt;&gt;0,SUM(Params[[#This Row],[k2,mean]:[k2,se]])&lt;&gt;0)</f>
        <v>1</v>
      </c>
      <c r="H42" s="16">
        <f>IFERROR((Params[[#This Row],[t1,mean]]*Params[[#This Row],[t2,mean]])/(Params[[#This Row],[t1,mean]]-Params[[#This Row],[t2,mean]]) * LN(Params[[#This Row],[k2,mean]]/Params[[#This Row],[k1,mean]]),"-")</f>
        <v>17.260924347106858</v>
      </c>
      <c r="I42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44.74964630333151</v>
      </c>
      <c r="J42" s="16">
        <f>IF(IFERROR(Params[[#This Row],[k2,mean]]/Params[[#This Row],[k1,mean]],"-")=0,"-",IFERROR(Params[[#This Row],[k2,mean]]/Params[[#This Row],[k1,mean]],"-"))</f>
        <v>1.7777777777777779</v>
      </c>
      <c r="K42" s="16">
        <f>IFERROR(Params[[#This Row],[k1,mean]]/Params[[#This Row],[k2,mean]],"-")</f>
        <v>0.5625</v>
      </c>
      <c r="L42" s="16">
        <f>IFERROR(Params[[#This Row],[t1,mean]]/Params[[#This Row],[t2,mean]],"-")</f>
        <v>2.5</v>
      </c>
      <c r="M42" s="28">
        <v>0.9</v>
      </c>
      <c r="P42" s="29">
        <v>45</v>
      </c>
      <c r="S42" s="30">
        <v>18</v>
      </c>
      <c r="V42" s="31">
        <v>8.9999999999999993E-3</v>
      </c>
      <c r="Y42" s="32">
        <v>1.6E-2</v>
      </c>
      <c r="AL42">
        <f>Params[[#This Row],[Volume]]/Params[[#This Row],[Duration]]</f>
        <v>3.5166666666666666</v>
      </c>
      <c r="AN42" s="19">
        <f t="shared" si="0"/>
        <v>420</v>
      </c>
      <c r="AO42">
        <v>18</v>
      </c>
      <c r="AP42">
        <v>1477</v>
      </c>
    </row>
    <row r="43" spans="1:42" x14ac:dyDescent="0.25">
      <c r="A43" s="6" t="s">
        <v>174</v>
      </c>
      <c r="B43" s="9">
        <v>1</v>
      </c>
      <c r="C43" s="9">
        <f>INDEX(Refs[Include],MATCH(Params[[#This Row],[Reference]],Refs[ID],0))</f>
        <v>0</v>
      </c>
      <c r="D43" s="9" t="b">
        <f>Params[[#This Row],[N]]=1</f>
        <v>1</v>
      </c>
      <c r="E43" s="3">
        <v>7</v>
      </c>
      <c r="F43" s="4" t="b">
        <f>AND(Params[[#This Row],[t1,mean]]&gt;Params[[#This Row],[t2,mean]],Params[[#This Row],[k1,mean]]&lt;Params[[#This Row],[k2,mean]])</f>
        <v>1</v>
      </c>
      <c r="G43" s="4" t="b">
        <f>AND(SUM(Params[[#This Row],[k3,mean]:[t3,se]])=0,SUM(Params[[#This Row],[k1,mean]:[k1,se]])&lt;&gt;0,SUM(Params[[#This Row],[k2,mean]:[k2,se]])&lt;&gt;0)</f>
        <v>1</v>
      </c>
      <c r="H43" s="16">
        <f>IFERROR((Params[[#This Row],[t1,mean]]*Params[[#This Row],[t2,mean]])/(Params[[#This Row],[t1,mean]]-Params[[#This Row],[t2,mean]]) * LN(Params[[#This Row],[k2,mean]]/Params[[#This Row],[k1,mean]]),"-")</f>
        <v>30.027633587579334</v>
      </c>
      <c r="I43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71.420564354440742</v>
      </c>
      <c r="J43" s="16">
        <f>IF(IFERROR(Params[[#This Row],[k2,mean]]/Params[[#This Row],[k1,mean]],"-")=0,"-",IFERROR(Params[[#This Row],[k2,mean]]/Params[[#This Row],[k1,mean]],"-"))</f>
        <v>1.5555555555555558</v>
      </c>
      <c r="K43" s="16">
        <f>IFERROR(Params[[#This Row],[k1,mean]]/Params[[#This Row],[k2,mean]],"-")</f>
        <v>0.64285714285714279</v>
      </c>
      <c r="L43" s="16">
        <f>IFERROR(Params[[#This Row],[t1,mean]]/Params[[#This Row],[t2,mean]],"-")</f>
        <v>1.8387096774193548</v>
      </c>
      <c r="M43" s="28">
        <v>0.9</v>
      </c>
      <c r="P43" s="29">
        <v>57</v>
      </c>
      <c r="S43" s="30">
        <v>31</v>
      </c>
      <c r="V43" s="31">
        <v>1.7999999999999999E-2</v>
      </c>
      <c r="Y43" s="32">
        <v>2.8000000000000001E-2</v>
      </c>
      <c r="AL43">
        <f>Params[[#This Row],[Volume]]/Params[[#This Row],[Duration]]</f>
        <v>4.3214285714285712</v>
      </c>
      <c r="AN43" s="19">
        <f t="shared" si="0"/>
        <v>420</v>
      </c>
      <c r="AO43">
        <v>12</v>
      </c>
      <c r="AP43">
        <v>1815</v>
      </c>
    </row>
    <row r="44" spans="1:42" x14ac:dyDescent="0.25">
      <c r="A44" s="6" t="s">
        <v>174</v>
      </c>
      <c r="B44" s="9">
        <v>1</v>
      </c>
      <c r="C44" s="9">
        <f>INDEX(Refs[Include],MATCH(Params[[#This Row],[Reference]],Refs[ID],0))</f>
        <v>0</v>
      </c>
      <c r="D44" s="9" t="b">
        <f>Params[[#This Row],[N]]=1</f>
        <v>1</v>
      </c>
      <c r="E44" s="3">
        <v>8</v>
      </c>
      <c r="F44" s="4" t="b">
        <f>AND(Params[[#This Row],[t1,mean]]&gt;Params[[#This Row],[t2,mean]],Params[[#This Row],[k1,mean]]&lt;Params[[#This Row],[k2,mean]])</f>
        <v>1</v>
      </c>
      <c r="G44" s="4" t="b">
        <f>AND(SUM(Params[[#This Row],[k3,mean]:[t3,se]])=0,SUM(Params[[#This Row],[k1,mean]:[k1,se]])&lt;&gt;0,SUM(Params[[#This Row],[k2,mean]:[k2,se]])&lt;&gt;0)</f>
        <v>1</v>
      </c>
      <c r="H44" s="16">
        <f>IFERROR((Params[[#This Row],[t1,mean]]*Params[[#This Row],[t2,mean]])/(Params[[#This Row],[t1,mean]]-Params[[#This Row],[t2,mean]]) * LN(Params[[#This Row],[k2,mean]]/Params[[#This Row],[k1,mean]]),"-")</f>
        <v>15.753462995349533</v>
      </c>
      <c r="I44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34.831923235019183</v>
      </c>
      <c r="J44" s="16">
        <f>IF(IFERROR(Params[[#This Row],[k2,mean]]/Params[[#This Row],[k1,mean]],"-")=0,"-",IFERROR(Params[[#This Row],[k2,mean]]/Params[[#This Row],[k1,mean]],"-"))</f>
        <v>1.3493975903614457</v>
      </c>
      <c r="K44" s="16">
        <f>IFERROR(Params[[#This Row],[k1,mean]]/Params[[#This Row],[k2,mean]],"-")</f>
        <v>0.7410714285714286</v>
      </c>
      <c r="L44" s="16">
        <f>IFERROR(Params[[#This Row],[t1,mean]]/Params[[#This Row],[t2,mean]],"-")</f>
        <v>1.4375</v>
      </c>
      <c r="M44" s="28">
        <v>0.95</v>
      </c>
      <c r="P44" s="29">
        <v>23</v>
      </c>
      <c r="S44" s="30">
        <v>16</v>
      </c>
      <c r="V44" s="31">
        <v>8.3000000000000004E-2</v>
      </c>
      <c r="Y44" s="32">
        <v>0.112</v>
      </c>
      <c r="AL44">
        <f>Params[[#This Row],[Volume]]/Params[[#This Row],[Duration]]</f>
        <v>4.5619047619047617</v>
      </c>
      <c r="AN44" s="19">
        <f t="shared" si="0"/>
        <v>420</v>
      </c>
      <c r="AO44">
        <v>11</v>
      </c>
      <c r="AP44">
        <v>1916</v>
      </c>
    </row>
    <row r="45" spans="1:42" x14ac:dyDescent="0.25">
      <c r="A45" s="6" t="s">
        <v>174</v>
      </c>
      <c r="B45" s="9">
        <v>1</v>
      </c>
      <c r="C45" s="9">
        <f>INDEX(Refs[Include],MATCH(Params[[#This Row],[Reference]],Refs[ID],0))</f>
        <v>0</v>
      </c>
      <c r="D45" s="9" t="b">
        <f>Params[[#This Row],[N]]=1</f>
        <v>1</v>
      </c>
      <c r="E45" s="3">
        <v>9</v>
      </c>
      <c r="F45" s="4" t="b">
        <f>AND(Params[[#This Row],[t1,mean]]&gt;Params[[#This Row],[t2,mean]],Params[[#This Row],[k1,mean]]&lt;Params[[#This Row],[k2,mean]])</f>
        <v>1</v>
      </c>
      <c r="G45" s="4" t="b">
        <f>AND(SUM(Params[[#This Row],[k3,mean]:[t3,se]])=0,SUM(Params[[#This Row],[k1,mean]:[k1,se]])&lt;&gt;0,SUM(Params[[#This Row],[k2,mean]:[k2,se]])&lt;&gt;0)</f>
        <v>1</v>
      </c>
      <c r="H45" s="16">
        <f>IFERROR((Params[[#This Row],[t1,mean]]*Params[[#This Row],[t2,mean]])/(Params[[#This Row],[t1,mean]]-Params[[#This Row],[t2,mean]]) * LN(Params[[#This Row],[k2,mean]]/Params[[#This Row],[k1,mean]]),"-")</f>
        <v>16.679046121521033</v>
      </c>
      <c r="I45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65.78640694070809</v>
      </c>
      <c r="J45" s="16">
        <f>IF(IFERROR(Params[[#This Row],[k2,mean]]/Params[[#This Row],[k1,mean]],"-")=0,"-",IFERROR(Params[[#This Row],[k2,mean]]/Params[[#This Row],[k1,mean]],"-"))</f>
        <v>1.2</v>
      </c>
      <c r="K45" s="16">
        <f>IFERROR(Params[[#This Row],[k1,mean]]/Params[[#This Row],[k2,mean]],"-")</f>
        <v>0.83333333333333337</v>
      </c>
      <c r="L45" s="16">
        <f>IFERROR(Params[[#This Row],[t1,mean]]/Params[[#This Row],[t2,mean]],"-")</f>
        <v>1.7105263157894737</v>
      </c>
      <c r="M45" s="28">
        <v>0.93</v>
      </c>
      <c r="P45" s="29">
        <v>65</v>
      </c>
      <c r="S45" s="30">
        <v>38</v>
      </c>
      <c r="V45" s="31">
        <v>0.01</v>
      </c>
      <c r="Y45" s="32">
        <v>1.2E-2</v>
      </c>
      <c r="AL45">
        <f>Params[[#This Row],[Volume]]/Params[[#This Row],[Duration]]</f>
        <v>4.3880952380952385</v>
      </c>
      <c r="AN45" s="19">
        <f t="shared" si="0"/>
        <v>420</v>
      </c>
      <c r="AO45">
        <v>13</v>
      </c>
      <c r="AP45">
        <v>1843</v>
      </c>
    </row>
    <row r="46" spans="1:42" x14ac:dyDescent="0.25">
      <c r="A46" t="s">
        <v>122</v>
      </c>
      <c r="B46" s="4">
        <v>1</v>
      </c>
      <c r="C46" s="4">
        <f>INDEX(Refs[Include],MATCH(Params[[#This Row],[Reference]],Refs[ID],0))</f>
        <v>0</v>
      </c>
      <c r="D46" s="4" t="b">
        <f>Params[[#This Row],[N]]=1</f>
        <v>1</v>
      </c>
      <c r="E46" s="3">
        <v>1</v>
      </c>
      <c r="F46" s="4" t="b">
        <f>AND(Params[[#This Row],[t1,mean]]&gt;Params[[#This Row],[t2,mean]],Params[[#This Row],[k1,mean]]&lt;Params[[#This Row],[k2,mean]])</f>
        <v>1</v>
      </c>
      <c r="G46" s="4" t="b">
        <f>AND(SUM(Params[[#This Row],[k3,mean]:[t3,se]])=0,SUM(Params[[#This Row],[k1,mean]:[k1,se]])&lt;&gt;0,SUM(Params[[#This Row],[k2,mean]:[k2,se]])&lt;&gt;0)</f>
        <v>1</v>
      </c>
      <c r="H46" s="16">
        <f>IFERROR((Params[[#This Row],[t1,mean]]*Params[[#This Row],[t2,mean]])/(Params[[#This Row],[t1,mean]]-Params[[#This Row],[t2,mean]]) * LN(Params[[#This Row],[k2,mean]]/Params[[#This Row],[k1,mean]]),"-")</f>
        <v>4.6927942482330964</v>
      </c>
      <c r="I46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16.763578591488848</v>
      </c>
      <c r="J46" s="16">
        <f>IF(IFERROR(Params[[#This Row],[k2,mean]]/Params[[#This Row],[k1,mean]],"-")=0,"-",IFERROR(Params[[#This Row],[k2,mean]]/Params[[#This Row],[k1,mean]],"-"))</f>
        <v>1.8695652173913044</v>
      </c>
      <c r="K46" s="16">
        <f>IFERROR(Params[[#This Row],[k1,mean]]/Params[[#This Row],[k2,mean]],"-")</f>
        <v>0.53488372093023251</v>
      </c>
      <c r="L46" s="16">
        <f>IFERROR(Params[[#This Row],[t1,mean]]/Params[[#This Row],[t2,mean]],"-")</f>
        <v>5</v>
      </c>
      <c r="M46" s="28">
        <v>500</v>
      </c>
      <c r="P46" s="29">
        <v>30</v>
      </c>
      <c r="S46" s="30">
        <v>6</v>
      </c>
      <c r="V46" s="31">
        <v>2.2999999999999998</v>
      </c>
      <c r="Y46" s="32">
        <v>4.3</v>
      </c>
      <c r="AH46">
        <v>2140</v>
      </c>
      <c r="AI46">
        <v>304</v>
      </c>
      <c r="AK46">
        <v>107</v>
      </c>
      <c r="AN46">
        <f>14*7</f>
        <v>98</v>
      </c>
      <c r="AO46">
        <v>20</v>
      </c>
    </row>
    <row r="47" spans="1:42" x14ac:dyDescent="0.25">
      <c r="A47" t="s">
        <v>88</v>
      </c>
      <c r="B47" s="4">
        <v>1</v>
      </c>
      <c r="C47" s="4">
        <f>INDEX(Refs[Include],MATCH(Params[[#This Row],[Reference]],Refs[ID],0))</f>
        <v>1</v>
      </c>
      <c r="D47" s="4" t="b">
        <f>Params[[#This Row],[N]]=1</f>
        <v>1</v>
      </c>
      <c r="E47" s="3" t="s">
        <v>90</v>
      </c>
      <c r="F47" s="4" t="b">
        <f>AND(Params[[#This Row],[t1,mean]]&gt;Params[[#This Row],[t2,mean]],Params[[#This Row],[k1,mean]]&lt;Params[[#This Row],[k2,mean]])</f>
        <v>0</v>
      </c>
      <c r="G47" s="4" t="b">
        <f>AND(SUM(Params[[#This Row],[k3,mean]:[t3,se]])=0,SUM(Params[[#This Row],[k1,mean]:[k1,se]])&lt;&gt;0,SUM(Params[[#This Row],[k2,mean]:[k2,se]])&lt;&gt;0)</f>
        <v>1</v>
      </c>
      <c r="H47" s="16" t="str">
        <f>IFERROR((Params[[#This Row],[t1,mean]]*Params[[#This Row],[t2,mean]])/(Params[[#This Row],[t1,mean]]-Params[[#This Row],[t2,mean]]) * LN(Params[[#This Row],[k2,mean]]/Params[[#This Row],[k1,mean]]),"-")</f>
        <v>-</v>
      </c>
      <c r="I47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47" s="16">
        <f>IF(IFERROR(Params[[#This Row],[k2,mean]]/Params[[#This Row],[k1,mean]],"-")=0,"-",IFERROR(Params[[#This Row],[k2,mean]]/Params[[#This Row],[k1,mean]],"-"))</f>
        <v>-0.45</v>
      </c>
      <c r="K47" s="16">
        <f>IFERROR(Params[[#This Row],[k1,mean]]/Params[[#This Row],[k2,mean]],"-")</f>
        <v>-2.2222222222222223</v>
      </c>
      <c r="L47" s="16">
        <f>IFERROR(Params[[#This Row],[t1,mean]]/Params[[#This Row],[t2,mean]],"-")</f>
        <v>0.38983050847457629</v>
      </c>
      <c r="P47" s="29">
        <v>23</v>
      </c>
      <c r="S47" s="30">
        <v>59</v>
      </c>
      <c r="V47" s="31">
        <v>-2.0000000000000001E-4</v>
      </c>
      <c r="Y47" s="32">
        <v>9.0000000000000006E-5</v>
      </c>
    </row>
    <row r="48" spans="1:42" x14ac:dyDescent="0.25">
      <c r="A48" t="s">
        <v>88</v>
      </c>
      <c r="B48" s="4">
        <v>1</v>
      </c>
      <c r="C48" s="4">
        <f>INDEX(Refs[Include],MATCH(Params[[#This Row],[Reference]],Refs[ID],0))</f>
        <v>1</v>
      </c>
      <c r="D48" s="4" t="b">
        <f>Params[[#This Row],[N]]=1</f>
        <v>1</v>
      </c>
      <c r="E48" s="3" t="s">
        <v>91</v>
      </c>
      <c r="F48" s="4" t="b">
        <f>AND(Params[[#This Row],[t1,mean]]&gt;Params[[#This Row],[t2,mean]],Params[[#This Row],[k1,mean]]&lt;Params[[#This Row],[k2,mean]])</f>
        <v>0</v>
      </c>
      <c r="G48" s="4" t="b">
        <f>AND(SUM(Params[[#This Row],[k3,mean]:[t3,se]])=0,SUM(Params[[#This Row],[k1,mean]:[k1,se]])&lt;&gt;0,SUM(Params[[#This Row],[k2,mean]:[k2,se]])&lt;&gt;0)</f>
        <v>0</v>
      </c>
      <c r="H48" s="16" t="str">
        <f>IFERROR((Params[[#This Row],[t1,mean]]*Params[[#This Row],[t2,mean]])/(Params[[#This Row],[t1,mean]]-Params[[#This Row],[t2,mean]]) * LN(Params[[#This Row],[k2,mean]]/Params[[#This Row],[k1,mean]]),"-")</f>
        <v>-</v>
      </c>
      <c r="I48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48" s="16" t="str">
        <f>IF(IFERROR(Params[[#This Row],[k2,mean]]/Params[[#This Row],[k1,mean]],"-")=0,"-",IFERROR(Params[[#This Row],[k2,mean]]/Params[[#This Row],[k1,mean]],"-"))</f>
        <v>-</v>
      </c>
      <c r="K48" s="16" t="str">
        <f>IFERROR(Params[[#This Row],[k1,mean]]/Params[[#This Row],[k2,mean]],"-")</f>
        <v>-</v>
      </c>
      <c r="L48" s="16">
        <f>IFERROR(Params[[#This Row],[t1,mean]]/Params[[#This Row],[t2,mean]],"-")</f>
        <v>0</v>
      </c>
      <c r="S48" s="30">
        <v>4</v>
      </c>
      <c r="V48" s="31">
        <v>-2.0000000000000001E-4</v>
      </c>
    </row>
    <row r="49" spans="1:41" x14ac:dyDescent="0.25">
      <c r="A49" t="s">
        <v>62</v>
      </c>
      <c r="B49" s="4">
        <v>1</v>
      </c>
      <c r="C49" s="4">
        <f>INDEX(Refs[Include],MATCH(Params[[#This Row],[Reference]],Refs[ID],0))</f>
        <v>1</v>
      </c>
      <c r="D49" s="4" t="b">
        <f>Params[[#This Row],[N]]=1</f>
        <v>1</v>
      </c>
      <c r="E49" s="3" t="s">
        <v>68</v>
      </c>
      <c r="F49" s="4" t="b">
        <f>AND(Params[[#This Row],[t1,mean]]&gt;Params[[#This Row],[t2,mean]],Params[[#This Row],[k1,mean]]&lt;Params[[#This Row],[k2,mean]])</f>
        <v>1</v>
      </c>
      <c r="G49" s="4" t="b">
        <f>AND(SUM(Params[[#This Row],[k3,mean]:[t3,se]])=0,SUM(Params[[#This Row],[k1,mean]:[k1,se]])&lt;&gt;0,SUM(Params[[#This Row],[k2,mean]:[k2,se]])&lt;&gt;0)</f>
        <v>1</v>
      </c>
      <c r="H49" s="16">
        <f>IFERROR((Params[[#This Row],[t1,mean]]*Params[[#This Row],[t2,mean]])/(Params[[#This Row],[t1,mean]]-Params[[#This Row],[t2,mean]]) * LN(Params[[#This Row],[k2,mean]]/Params[[#This Row],[k1,mean]]),"-")</f>
        <v>8.6187588480179791</v>
      </c>
      <c r="I49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18.938525742240287</v>
      </c>
      <c r="J49" s="16">
        <f>IF(IFERROR(Params[[#This Row],[k2,mean]]/Params[[#This Row],[k1,mean]],"-")=0,"-",IFERROR(Params[[#This Row],[k2,mean]]/Params[[#This Row],[k1,mean]],"-"))</f>
        <v>2.7333333333333334</v>
      </c>
      <c r="K49" s="16">
        <f>IFERROR(Params[[#This Row],[k1,mean]]/Params[[#This Row],[k2,mean]],"-")</f>
        <v>0.36585365853658536</v>
      </c>
      <c r="L49" s="16">
        <f>IFERROR(Params[[#This Row],[t1,mean]]/Params[[#This Row],[t2,mean]],"-")</f>
        <v>3.3333333333333335</v>
      </c>
      <c r="P49" s="29">
        <v>20</v>
      </c>
      <c r="S49" s="30">
        <v>6</v>
      </c>
      <c r="V49" s="31">
        <v>1.4999999999999999E-2</v>
      </c>
      <c r="Y49" s="32">
        <v>4.1000000000000002E-2</v>
      </c>
      <c r="AH49">
        <v>47.1</v>
      </c>
      <c r="AI49">
        <v>41.5</v>
      </c>
      <c r="AJ49">
        <v>45</v>
      </c>
      <c r="AL49" s="19">
        <v>665</v>
      </c>
      <c r="AN49" s="19">
        <f t="shared" ref="AN49:AN54" si="1">9*4.3*7</f>
        <v>270.89999999999998</v>
      </c>
      <c r="AO49" s="19">
        <v>10</v>
      </c>
    </row>
    <row r="50" spans="1:41" x14ac:dyDescent="0.25">
      <c r="A50" t="s">
        <v>62</v>
      </c>
      <c r="B50" s="4">
        <v>1</v>
      </c>
      <c r="C50" s="4">
        <f>INDEX(Refs[Include],MATCH(Params[[#This Row],[Reference]],Refs[ID],0))</f>
        <v>1</v>
      </c>
      <c r="D50" s="4" t="b">
        <f>Params[[#This Row],[N]]=1</f>
        <v>1</v>
      </c>
      <c r="E50" s="3" t="s">
        <v>63</v>
      </c>
      <c r="F50" s="4" t="b">
        <f>AND(Params[[#This Row],[t1,mean]]&gt;Params[[#This Row],[t2,mean]],Params[[#This Row],[k1,mean]]&lt;Params[[#This Row],[k2,mean]])</f>
        <v>1</v>
      </c>
      <c r="G50" s="4" t="b">
        <f>AND(SUM(Params[[#This Row],[k3,mean]:[t3,se]])=0,SUM(Params[[#This Row],[k1,mean]:[k1,se]])&lt;&gt;0,SUM(Params[[#This Row],[k2,mean]:[k2,se]])&lt;&gt;0)</f>
        <v>1</v>
      </c>
      <c r="H50" s="16">
        <f>IFERROR((Params[[#This Row],[t1,mean]]*Params[[#This Row],[t2,mean]])/(Params[[#This Row],[t1,mean]]-Params[[#This Row],[t2,mean]]) * LN(Params[[#This Row],[k2,mean]]/Params[[#This Row],[k1,mean]]),"-")</f>
        <v>11.933174484808834</v>
      </c>
      <c r="I50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23.610569598323966</v>
      </c>
      <c r="J50" s="16">
        <f>IF(IFERROR(Params[[#This Row],[k2,mean]]/Params[[#This Row],[k1,mean]],"-")=0,"-",IFERROR(Params[[#This Row],[k2,mean]]/Params[[#This Row],[k1,mean]],"-"))</f>
        <v>2.290322580645161</v>
      </c>
      <c r="K50" s="16">
        <f>IFERROR(Params[[#This Row],[k1,mean]]/Params[[#This Row],[k2,mean]],"-")</f>
        <v>0.43661971830985918</v>
      </c>
      <c r="L50" s="16">
        <f>IFERROR(Params[[#This Row],[t1,mean]]/Params[[#This Row],[t2,mean]],"-")</f>
        <v>2.25</v>
      </c>
      <c r="P50" s="29">
        <v>18</v>
      </c>
      <c r="S50" s="30">
        <v>8</v>
      </c>
      <c r="V50" s="31">
        <v>3.1E-2</v>
      </c>
      <c r="Y50" s="32">
        <v>7.0999999999999994E-2</v>
      </c>
      <c r="AH50">
        <v>48.2</v>
      </c>
      <c r="AI50">
        <v>43.3</v>
      </c>
      <c r="AJ50">
        <v>44.9</v>
      </c>
      <c r="AL50" s="19">
        <v>665</v>
      </c>
      <c r="AN50" s="19">
        <f t="shared" si="1"/>
        <v>270.89999999999998</v>
      </c>
      <c r="AO50" s="19">
        <v>10</v>
      </c>
    </row>
    <row r="51" spans="1:41" x14ac:dyDescent="0.25">
      <c r="A51" t="s">
        <v>62</v>
      </c>
      <c r="B51" s="4">
        <v>1</v>
      </c>
      <c r="C51" s="4">
        <f>INDEX(Refs[Include],MATCH(Params[[#This Row],[Reference]],Refs[ID],0))</f>
        <v>1</v>
      </c>
      <c r="D51" s="4" t="b">
        <f>Params[[#This Row],[N]]=1</f>
        <v>1</v>
      </c>
      <c r="E51" s="3" t="s">
        <v>64</v>
      </c>
      <c r="F51" s="4" t="b">
        <f>AND(Params[[#This Row],[t1,mean]]&gt;Params[[#This Row],[t2,mean]],Params[[#This Row],[k1,mean]]&lt;Params[[#This Row],[k2,mean]])</f>
        <v>1</v>
      </c>
      <c r="G51" s="4" t="b">
        <f>AND(SUM(Params[[#This Row],[k3,mean]:[t3,se]])=0,SUM(Params[[#This Row],[k1,mean]:[k1,se]])&lt;&gt;0,SUM(Params[[#This Row],[k2,mean]:[k2,se]])&lt;&gt;0)</f>
        <v>1</v>
      </c>
      <c r="H51" s="16">
        <f>IFERROR((Params[[#This Row],[t1,mean]]*Params[[#This Row],[t2,mean]])/(Params[[#This Row],[t1,mean]]-Params[[#This Row],[t2,mean]]) * LN(Params[[#This Row],[k2,mean]]/Params[[#This Row],[k1,mean]]),"-")</f>
        <v>8.6860850145389303</v>
      </c>
      <c r="I51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17.92804742200487</v>
      </c>
      <c r="J51" s="16">
        <f>IF(IFERROR(Params[[#This Row],[k2,mean]]/Params[[#This Row],[k1,mean]],"-")=0,"-",IFERROR(Params[[#This Row],[k2,mean]]/Params[[#This Row],[k1,mean]],"-"))</f>
        <v>3.6799999999999997</v>
      </c>
      <c r="K51" s="16">
        <f>IFERROR(Params[[#This Row],[k1,mean]]/Params[[#This Row],[k2,mean]],"-")</f>
        <v>0.27173913043478265</v>
      </c>
      <c r="L51" s="16">
        <f>IFERROR(Params[[#This Row],[t1,mean]]/Params[[#This Row],[t2,mean]],"-")</f>
        <v>4</v>
      </c>
      <c r="P51" s="29">
        <v>20</v>
      </c>
      <c r="S51" s="30">
        <v>5</v>
      </c>
      <c r="V51" s="31">
        <v>2.5000000000000001E-2</v>
      </c>
      <c r="Y51" s="32">
        <v>9.1999999999999998E-2</v>
      </c>
      <c r="AH51">
        <v>49.4</v>
      </c>
      <c r="AI51">
        <v>45.9</v>
      </c>
      <c r="AJ51">
        <v>48.1</v>
      </c>
      <c r="AL51" s="19">
        <v>665</v>
      </c>
      <c r="AN51" s="19">
        <f t="shared" si="1"/>
        <v>270.89999999999998</v>
      </c>
      <c r="AO51" s="19">
        <v>10</v>
      </c>
    </row>
    <row r="52" spans="1:41" x14ac:dyDescent="0.25">
      <c r="A52" t="s">
        <v>62</v>
      </c>
      <c r="B52" s="4">
        <v>1</v>
      </c>
      <c r="C52" s="4">
        <f>INDEX(Refs[Include],MATCH(Params[[#This Row],[Reference]],Refs[ID],0))</f>
        <v>1</v>
      </c>
      <c r="D52" s="4" t="b">
        <f>Params[[#This Row],[N]]=1</f>
        <v>1</v>
      </c>
      <c r="E52" s="3" t="s">
        <v>65</v>
      </c>
      <c r="F52" s="4" t="b">
        <f>AND(Params[[#This Row],[t1,mean]]&gt;Params[[#This Row],[t2,mean]],Params[[#This Row],[k1,mean]]&lt;Params[[#This Row],[k2,mean]])</f>
        <v>1</v>
      </c>
      <c r="G52" s="4" t="b">
        <f>AND(SUM(Params[[#This Row],[k3,mean]:[t3,se]])=0,SUM(Params[[#This Row],[k1,mean]:[k1,se]])&lt;&gt;0,SUM(Params[[#This Row],[k2,mean]:[k2,se]])&lt;&gt;0)</f>
        <v>1</v>
      </c>
      <c r="H52" s="16">
        <f>IFERROR((Params[[#This Row],[t1,mean]]*Params[[#This Row],[t2,mean]])/(Params[[#This Row],[t1,mean]]-Params[[#This Row],[t2,mean]]) * LN(Params[[#This Row],[k2,mean]]/Params[[#This Row],[k1,mean]]),"-")</f>
        <v>13.897076100091352</v>
      </c>
      <c r="I52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23.28583742758574</v>
      </c>
      <c r="J52" s="16">
        <f>IF(IFERROR(Params[[#This Row],[k2,mean]]/Params[[#This Row],[k1,mean]],"-")=0,"-",IFERROR(Params[[#This Row],[k2,mean]]/Params[[#This Row],[k1,mean]],"-"))</f>
        <v>2.5</v>
      </c>
      <c r="K52" s="16">
        <f>IFERROR(Params[[#This Row],[k1,mean]]/Params[[#This Row],[k2,mean]],"-")</f>
        <v>0.4</v>
      </c>
      <c r="L52" s="16">
        <f>IFERROR(Params[[#This Row],[t1,mean]]/Params[[#This Row],[t2,mean]],"-")</f>
        <v>1.8571428571428572</v>
      </c>
      <c r="P52" s="29">
        <v>13</v>
      </c>
      <c r="S52" s="30">
        <v>7</v>
      </c>
      <c r="V52" s="31">
        <v>4.0000000000000001E-3</v>
      </c>
      <c r="Y52" s="32">
        <v>0.01</v>
      </c>
      <c r="AH52">
        <v>47.6</v>
      </c>
      <c r="AI52">
        <v>42.4</v>
      </c>
      <c r="AJ52">
        <v>45.8</v>
      </c>
      <c r="AL52" s="19">
        <v>665</v>
      </c>
      <c r="AN52" s="19">
        <f t="shared" si="1"/>
        <v>270.89999999999998</v>
      </c>
      <c r="AO52" s="19">
        <v>10</v>
      </c>
    </row>
    <row r="53" spans="1:41" x14ac:dyDescent="0.25">
      <c r="A53" t="s">
        <v>62</v>
      </c>
      <c r="B53" s="4">
        <v>1</v>
      </c>
      <c r="C53" s="4">
        <f>INDEX(Refs[Include],MATCH(Params[[#This Row],[Reference]],Refs[ID],0))</f>
        <v>1</v>
      </c>
      <c r="D53" s="4" t="b">
        <f>Params[[#This Row],[N]]=1</f>
        <v>1</v>
      </c>
      <c r="E53" s="3" t="s">
        <v>66</v>
      </c>
      <c r="F53" s="4" t="b">
        <f>AND(Params[[#This Row],[t1,mean]]&gt;Params[[#This Row],[t2,mean]],Params[[#This Row],[k1,mean]]&lt;Params[[#This Row],[k2,mean]])</f>
        <v>1</v>
      </c>
      <c r="G53" s="4" t="b">
        <f>AND(SUM(Params[[#This Row],[k3,mean]:[t3,se]])=0,SUM(Params[[#This Row],[k1,mean]:[k1,se]])&lt;&gt;0,SUM(Params[[#This Row],[k2,mean]:[k2,se]])&lt;&gt;0)</f>
        <v>1</v>
      </c>
      <c r="H53" s="16">
        <f>IFERROR((Params[[#This Row],[t1,mean]]*Params[[#This Row],[t2,mean]])/(Params[[#This Row],[t1,mean]]-Params[[#This Row],[t2,mean]]) * LN(Params[[#This Row],[k2,mean]]/Params[[#This Row],[k1,mean]]),"-")</f>
        <v>18.15285662383468</v>
      </c>
      <c r="I53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31.557965837815445</v>
      </c>
      <c r="J53" s="16">
        <f>IF(IFERROR(Params[[#This Row],[k2,mean]]/Params[[#This Row],[k1,mean]],"-")=0,"-",IFERROR(Params[[#This Row],[k2,mean]]/Params[[#This Row],[k1,mean]],"-"))</f>
        <v>4.6785714285714288</v>
      </c>
      <c r="K53" s="16">
        <f>IFERROR(Params[[#This Row],[k1,mean]]/Params[[#This Row],[k2,mean]],"-")</f>
        <v>0.21374045801526717</v>
      </c>
      <c r="L53" s="16">
        <f>IFERROR(Params[[#This Row],[t1,mean]]/Params[[#This Row],[t2,mean]],"-")</f>
        <v>3.125</v>
      </c>
      <c r="P53" s="29">
        <v>25</v>
      </c>
      <c r="S53" s="30">
        <v>8</v>
      </c>
      <c r="V53" s="31">
        <v>2.8000000000000001E-2</v>
      </c>
      <c r="Y53" s="32">
        <v>0.13100000000000001</v>
      </c>
      <c r="AH53">
        <v>51.8</v>
      </c>
      <c r="AI53">
        <v>44.4</v>
      </c>
      <c r="AJ53">
        <v>47</v>
      </c>
      <c r="AL53" s="19">
        <v>665</v>
      </c>
      <c r="AN53" s="19">
        <f t="shared" si="1"/>
        <v>270.89999999999998</v>
      </c>
      <c r="AO53" s="19">
        <v>10</v>
      </c>
    </row>
    <row r="54" spans="1:41" x14ac:dyDescent="0.25">
      <c r="A54" t="s">
        <v>62</v>
      </c>
      <c r="B54" s="4">
        <v>1</v>
      </c>
      <c r="C54" s="4">
        <f>INDEX(Refs[Include],MATCH(Params[[#This Row],[Reference]],Refs[ID],0))</f>
        <v>1</v>
      </c>
      <c r="D54" s="4" t="b">
        <f>Params[[#This Row],[N]]=1</f>
        <v>1</v>
      </c>
      <c r="E54" s="3" t="s">
        <v>67</v>
      </c>
      <c r="F54" s="4" t="b">
        <f>AND(Params[[#This Row],[t1,mean]]&gt;Params[[#This Row],[t2,mean]],Params[[#This Row],[k1,mean]]&lt;Params[[#This Row],[k2,mean]])</f>
        <v>1</v>
      </c>
      <c r="G54" s="4" t="b">
        <f>AND(SUM(Params[[#This Row],[k3,mean]:[t3,se]])=0,SUM(Params[[#This Row],[k1,mean]:[k1,se]])&lt;&gt;0,SUM(Params[[#This Row],[k2,mean]:[k2,se]])&lt;&gt;0)</f>
        <v>1</v>
      </c>
      <c r="H54" s="16">
        <f>IFERROR((Params[[#This Row],[t1,mean]]*Params[[#This Row],[t2,mean]])/(Params[[#This Row],[t1,mean]]-Params[[#This Row],[t2,mean]]) * LN(Params[[#This Row],[k2,mean]]/Params[[#This Row],[k1,mean]]),"-")</f>
        <v>12.657470253703348</v>
      </c>
      <c r="I54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25.944875420983212</v>
      </c>
      <c r="J54" s="16">
        <f>IF(IFERROR(Params[[#This Row],[k2,mean]]/Params[[#This Row],[k1,mean]],"-")=0,"-",IFERROR(Params[[#This Row],[k2,mean]]/Params[[#This Row],[k1,mean]],"-"))</f>
        <v>4</v>
      </c>
      <c r="K54" s="16">
        <f>IFERROR(Params[[#This Row],[k1,mean]]/Params[[#This Row],[k2,mean]],"-")</f>
        <v>0.25</v>
      </c>
      <c r="L54" s="16">
        <f>IFERROR(Params[[#This Row],[t1,mean]]/Params[[#This Row],[t2,mean]],"-")</f>
        <v>4.2857142857142856</v>
      </c>
      <c r="P54" s="29">
        <v>30</v>
      </c>
      <c r="S54" s="30">
        <v>7</v>
      </c>
      <c r="V54" s="31">
        <v>1.0999999999999999E-2</v>
      </c>
      <c r="Y54" s="32">
        <v>4.3999999999999997E-2</v>
      </c>
      <c r="AH54">
        <v>45.8</v>
      </c>
      <c r="AI54">
        <v>40.799999999999997</v>
      </c>
      <c r="AJ54">
        <v>42.8</v>
      </c>
      <c r="AL54" s="19">
        <v>665</v>
      </c>
      <c r="AN54" s="19">
        <f t="shared" si="1"/>
        <v>270.89999999999998</v>
      </c>
      <c r="AO54" s="19">
        <v>10</v>
      </c>
    </row>
    <row r="55" spans="1:41" x14ac:dyDescent="0.25">
      <c r="A55" t="s">
        <v>3</v>
      </c>
      <c r="B55" s="4">
        <v>1</v>
      </c>
      <c r="C55" s="4">
        <f>INDEX(Refs[Include],MATCH(Params[[#This Row],[Reference]],Refs[ID],0))</f>
        <v>1</v>
      </c>
      <c r="D55" s="4" t="b">
        <f>Params[[#This Row],[N]]=1</f>
        <v>1</v>
      </c>
      <c r="E55" s="3" t="s">
        <v>20</v>
      </c>
      <c r="F55" s="4" t="b">
        <f>AND(Params[[#This Row],[t1,mean]]&gt;Params[[#This Row],[t2,mean]],Params[[#This Row],[k1,mean]]&lt;Params[[#This Row],[k2,mean]])</f>
        <v>1</v>
      </c>
      <c r="G55" s="4" t="b">
        <f>AND(SUM(Params[[#This Row],[k3,mean]:[t3,se]])=0,SUM(Params[[#This Row],[k1,mean]:[k1,se]])&lt;&gt;0,SUM(Params[[#This Row],[k2,mean]:[k2,se]])&lt;&gt;0)</f>
        <v>1</v>
      </c>
      <c r="H55" s="16">
        <f>IFERROR((Params[[#This Row],[t1,mean]]*Params[[#This Row],[t2,mean]])/(Params[[#This Row],[t1,mean]]-Params[[#This Row],[t2,mean]]) * LN(Params[[#This Row],[k2,mean]]/Params[[#This Row],[k1,mean]]),"-")</f>
        <v>8.2892991204144995</v>
      </c>
      <c r="I55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29.642382529295951</v>
      </c>
      <c r="J55" s="16">
        <f>IF(IFERROR(Params[[#This Row],[k2,mean]]/Params[[#This Row],[k1,mean]],"-")=0,"-",IFERROR(Params[[#This Row],[k2,mean]]/Params[[#This Row],[k1,mean]],"-"))</f>
        <v>1.8</v>
      </c>
      <c r="K55" s="16">
        <f>IFERROR(Params[[#This Row],[k1,mean]]/Params[[#This Row],[k2,mean]],"-")</f>
        <v>0.55555555555555558</v>
      </c>
      <c r="L55" s="16">
        <f>IFERROR(Params[[#This Row],[t1,mean]]/Params[[#This Row],[t2,mean]],"-")</f>
        <v>4.5454545454545459</v>
      </c>
      <c r="P55" s="29">
        <v>50</v>
      </c>
      <c r="S55" s="30">
        <v>11</v>
      </c>
      <c r="V55" s="31">
        <v>1</v>
      </c>
      <c r="Y55" s="32">
        <v>1.8</v>
      </c>
      <c r="AH55">
        <v>249</v>
      </c>
      <c r="AI55">
        <v>176.9</v>
      </c>
      <c r="AJ55">
        <v>221.9</v>
      </c>
      <c r="AK55">
        <v>158.19999999999999</v>
      </c>
      <c r="AL55">
        <v>82.3</v>
      </c>
      <c r="AM55">
        <v>42.2</v>
      </c>
      <c r="AN55">
        <v>50</v>
      </c>
      <c r="AO55">
        <v>22</v>
      </c>
    </row>
    <row r="56" spans="1:41" x14ac:dyDescent="0.25">
      <c r="A56" t="s">
        <v>3</v>
      </c>
      <c r="B56" s="4">
        <v>1</v>
      </c>
      <c r="C56" s="4">
        <f>INDEX(Refs[Include],MATCH(Params[[#This Row],[Reference]],Refs[ID],0))</f>
        <v>1</v>
      </c>
      <c r="D56" s="4" t="b">
        <f>Params[[#This Row],[N]]=1</f>
        <v>1</v>
      </c>
      <c r="E56" s="3" t="s">
        <v>21</v>
      </c>
      <c r="F56" s="4" t="b">
        <f>AND(Params[[#This Row],[t1,mean]]&gt;Params[[#This Row],[t2,mean]],Params[[#This Row],[k1,mean]]&lt;Params[[#This Row],[k2,mean]])</f>
        <v>1</v>
      </c>
      <c r="G56" s="4" t="b">
        <f>AND(SUM(Params[[#This Row],[k3,mean]:[t3,se]])=0,SUM(Params[[#This Row],[k1,mean]:[k1,se]])&lt;&gt;0,SUM(Params[[#This Row],[k2,mean]:[k2,se]])&lt;&gt;0)</f>
        <v>1</v>
      </c>
      <c r="H56" s="16">
        <f>IFERROR((Params[[#This Row],[t1,mean]]*Params[[#This Row],[t2,mean]])/(Params[[#This Row],[t1,mean]]-Params[[#This Row],[t2,mean]]) * LN(Params[[#This Row],[k2,mean]]/Params[[#This Row],[k1,mean]]),"-")</f>
        <v>10.51671584297848</v>
      </c>
      <c r="I56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30.104062042249133</v>
      </c>
      <c r="J56" s="16">
        <f>IF(IFERROR(Params[[#This Row],[k2,mean]]/Params[[#This Row],[k1,mean]],"-")=0,"-",IFERROR(Params[[#This Row],[k2,mean]]/Params[[#This Row],[k1,mean]],"-"))</f>
        <v>2</v>
      </c>
      <c r="K56" s="16">
        <f>IFERROR(Params[[#This Row],[k1,mean]]/Params[[#This Row],[k2,mean]],"-")</f>
        <v>0.5</v>
      </c>
      <c r="L56" s="16">
        <f>IFERROR(Params[[#This Row],[t1,mean]]/Params[[#This Row],[t2,mean]],"-")</f>
        <v>3.6363636363636362</v>
      </c>
      <c r="P56" s="29">
        <v>40</v>
      </c>
      <c r="S56" s="30">
        <v>11</v>
      </c>
      <c r="V56" s="31">
        <v>1</v>
      </c>
      <c r="Y56" s="32">
        <v>2</v>
      </c>
      <c r="AH56">
        <v>431.2</v>
      </c>
      <c r="AI56">
        <v>350.7</v>
      </c>
      <c r="AJ56">
        <v>398</v>
      </c>
      <c r="AK56">
        <v>195</v>
      </c>
      <c r="AL56">
        <v>99</v>
      </c>
      <c r="AM56">
        <v>54</v>
      </c>
      <c r="AN56">
        <v>50</v>
      </c>
      <c r="AO56">
        <v>21</v>
      </c>
    </row>
    <row r="57" spans="1:41" x14ac:dyDescent="0.25">
      <c r="A57" t="s">
        <v>44</v>
      </c>
      <c r="B57" s="4">
        <v>1</v>
      </c>
      <c r="C57" s="4">
        <f>INDEX(Refs[Include],MATCH(Params[[#This Row],[Reference]],Refs[ID],0))</f>
        <v>1</v>
      </c>
      <c r="D57" s="4" t="b">
        <f>Params[[#This Row],[N]]=1</f>
        <v>1</v>
      </c>
      <c r="E57" s="3" t="s">
        <v>45</v>
      </c>
      <c r="F57" s="4" t="b">
        <f>AND(Params[[#This Row],[t1,mean]]&gt;Params[[#This Row],[t2,mean]],Params[[#This Row],[k1,mean]]&lt;Params[[#This Row],[k2,mean]])</f>
        <v>1</v>
      </c>
      <c r="G57" s="4" t="b">
        <f>AND(SUM(Params[[#This Row],[k3,mean]:[t3,se]])=0,SUM(Params[[#This Row],[k1,mean]:[k1,se]])&lt;&gt;0,SUM(Params[[#This Row],[k2,mean]:[k2,se]])&lt;&gt;0)</f>
        <v>1</v>
      </c>
      <c r="H57" s="16">
        <f>IFERROR((Params[[#This Row],[t1,mean]]*Params[[#This Row],[t2,mean]])/(Params[[#This Row],[t1,mean]]-Params[[#This Row],[t2,mean]]) * LN(Params[[#This Row],[k2,mean]]/Params[[#This Row],[k1,mean]]),"-")</f>
        <v>6.4780056636213335</v>
      </c>
      <c r="I57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27.364840704494348</v>
      </c>
      <c r="J57" s="16">
        <f>IF(IFERROR(Params[[#This Row],[k2,mean]]/Params[[#This Row],[k1,mean]],"-")=0,"-",IFERROR(Params[[#This Row],[k2,mean]]/Params[[#This Row],[k1,mean]],"-"))</f>
        <v>1.5371900826446281</v>
      </c>
      <c r="K57" s="16">
        <f>IFERROR(Params[[#This Row],[k1,mean]]/Params[[#This Row],[k2,mean]],"-")</f>
        <v>0.65053763440860213</v>
      </c>
      <c r="L57" s="16">
        <f>IFERROR(Params[[#This Row],[t1,mean]]/Params[[#This Row],[t2,mean]],"-")</f>
        <v>4</v>
      </c>
      <c r="P57" s="29">
        <v>45.2</v>
      </c>
      <c r="S57" s="30">
        <v>11.3</v>
      </c>
      <c r="V57" s="31">
        <v>0.24199999999999999</v>
      </c>
      <c r="Y57" s="32">
        <v>0.372</v>
      </c>
      <c r="AH57" s="17">
        <v>1444.8142401708701</v>
      </c>
      <c r="AN57" s="19">
        <v>45</v>
      </c>
      <c r="AO57" s="19">
        <v>20</v>
      </c>
    </row>
    <row r="58" spans="1:41" x14ac:dyDescent="0.25">
      <c r="A58" t="s">
        <v>44</v>
      </c>
      <c r="B58" s="4">
        <v>1</v>
      </c>
      <c r="C58" s="4">
        <f>INDEX(Refs[Include],MATCH(Params[[#This Row],[Reference]],Refs[ID],0))</f>
        <v>1</v>
      </c>
      <c r="E58" s="3" t="s">
        <v>46</v>
      </c>
      <c r="F58" s="4" t="b">
        <f>AND(Params[[#This Row],[t1,mean]]&gt;Params[[#This Row],[t2,mean]],Params[[#This Row],[k1,mean]]&lt;Params[[#This Row],[k2,mean]])</f>
        <v>1</v>
      </c>
      <c r="G58" s="4" t="b">
        <f>AND(SUM(Params[[#This Row],[k3,mean]:[t3,se]])=0,SUM(Params[[#This Row],[k1,mean]:[k1,se]])&lt;&gt;0,SUM(Params[[#This Row],[k2,mean]:[k2,se]])&lt;&gt;0)</f>
        <v>1</v>
      </c>
      <c r="H58" s="16">
        <f>IFERROR((Params[[#This Row],[t1,mean]]*Params[[#This Row],[t2,mean]])/(Params[[#This Row],[t1,mean]]-Params[[#This Row],[t2,mean]]) * LN(Params[[#This Row],[k2,mean]]/Params[[#This Row],[k1,mean]]),"-")</f>
        <v>8.464728832341752</v>
      </c>
      <c r="I58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26.317006285428548</v>
      </c>
      <c r="J58" s="16">
        <f>IF(IFERROR(Params[[#This Row],[k2,mean]]/Params[[#This Row],[k1,mean]],"-")=0,"-",IFERROR(Params[[#This Row],[k2,mean]]/Params[[#This Row],[k1,mean]],"-"))</f>
        <v>1.6204819277108433</v>
      </c>
      <c r="K58" s="16">
        <f>IFERROR(Params[[#This Row],[k1,mean]]/Params[[#This Row],[k2,mean]],"-")</f>
        <v>0.61710037174721188</v>
      </c>
      <c r="L58" s="16">
        <f>IFERROR(Params[[#This Row],[t1,mean]]/Params[[#This Row],[t2,mean]],"-")</f>
        <v>2.7678571428571432</v>
      </c>
      <c r="P58" s="29">
        <v>31</v>
      </c>
      <c r="S58" s="30">
        <v>11.2</v>
      </c>
      <c r="V58" s="31">
        <v>0.16600000000000001</v>
      </c>
      <c r="Y58" s="32">
        <v>0.26900000000000002</v>
      </c>
      <c r="AH58" s="17"/>
      <c r="AN58" s="19">
        <v>45</v>
      </c>
      <c r="AO58" s="19">
        <v>20</v>
      </c>
    </row>
    <row r="59" spans="1:41" x14ac:dyDescent="0.25">
      <c r="A59" t="s">
        <v>44</v>
      </c>
      <c r="B59" s="4">
        <v>1</v>
      </c>
      <c r="C59" s="4">
        <f>INDEX(Refs[Include],MATCH(Params[[#This Row],[Reference]],Refs[ID],0))</f>
        <v>1</v>
      </c>
      <c r="D59" s="4" t="b">
        <f>Params[[#This Row],[N]]=1</f>
        <v>1</v>
      </c>
      <c r="E59" s="3" t="s">
        <v>47</v>
      </c>
      <c r="F59" s="4" t="b">
        <f>AND(Params[[#This Row],[t1,mean]]&gt;Params[[#This Row],[t2,mean]],Params[[#This Row],[k1,mean]]&lt;Params[[#This Row],[k2,mean]])</f>
        <v>0</v>
      </c>
      <c r="G59" s="4" t="b">
        <f>AND(SUM(Params[[#This Row],[k3,mean]:[t3,se]])=0,SUM(Params[[#This Row],[k1,mean]:[k1,se]])&lt;&gt;0,SUM(Params[[#This Row],[k2,mean]:[k2,se]])&lt;&gt;0)</f>
        <v>1</v>
      </c>
      <c r="H59" s="16">
        <f>IFERROR((Params[[#This Row],[t1,mean]]*Params[[#This Row],[t2,mean]])/(Params[[#This Row],[t1,mean]]-Params[[#This Row],[t2,mean]]) * LN(Params[[#This Row],[k2,mean]]/Params[[#This Row],[k1,mean]]),"-")</f>
        <v>-2.1465126546100994</v>
      </c>
      <c r="I59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5.5158717018797629</v>
      </c>
      <c r="J59" s="16">
        <f>IF(IFERROR(Params[[#This Row],[k2,mean]]/Params[[#This Row],[k1,mean]],"-")=0,"-",IFERROR(Params[[#This Row],[k2,mean]]/Params[[#This Row],[k1,mean]],"-"))</f>
        <v>0.8666666666666667</v>
      </c>
      <c r="K59" s="16">
        <f>IFERROR(Params[[#This Row],[k1,mean]]/Params[[#This Row],[k2,mean]],"-")</f>
        <v>1.1538461538461537</v>
      </c>
      <c r="L59" s="16">
        <f>IFERROR(Params[[#This Row],[t1,mean]]/Params[[#This Row],[t2,mean]],"-")</f>
        <v>1.6666666666666667</v>
      </c>
      <c r="P59" s="29">
        <v>10</v>
      </c>
      <c r="S59" s="30">
        <v>6</v>
      </c>
      <c r="V59" s="31">
        <v>0.15</v>
      </c>
      <c r="Y59" s="32">
        <v>0.13</v>
      </c>
      <c r="AH59" s="17">
        <v>1507.7750778710299</v>
      </c>
      <c r="AN59" s="19">
        <v>45</v>
      </c>
      <c r="AO59" s="19">
        <v>20</v>
      </c>
    </row>
    <row r="60" spans="1:41" x14ac:dyDescent="0.25">
      <c r="A60" t="s">
        <v>44</v>
      </c>
      <c r="B60" s="4">
        <v>1</v>
      </c>
      <c r="C60" s="4">
        <f>INDEX(Refs[Include],MATCH(Params[[#This Row],[Reference]],Refs[ID],0))</f>
        <v>1</v>
      </c>
      <c r="E60" s="3" t="s">
        <v>48</v>
      </c>
      <c r="F60" s="4" t="b">
        <f>AND(Params[[#This Row],[t1,mean]]&gt;Params[[#This Row],[t2,mean]],Params[[#This Row],[k1,mean]]&lt;Params[[#This Row],[k2,mean]])</f>
        <v>0</v>
      </c>
      <c r="G60" s="4" t="b">
        <f>AND(SUM(Params[[#This Row],[k3,mean]:[t3,se]])=0,SUM(Params[[#This Row],[k1,mean]:[k1,se]])&lt;&gt;0,SUM(Params[[#This Row],[k2,mean]:[k2,se]])&lt;&gt;0)</f>
        <v>1</v>
      </c>
      <c r="H60" s="16">
        <f>IFERROR((Params[[#This Row],[t1,mean]]*Params[[#This Row],[t2,mean]])/(Params[[#This Row],[t1,mean]]-Params[[#This Row],[t2,mean]]) * LN(Params[[#This Row],[k2,mean]]/Params[[#This Row],[k1,mean]]),"-")</f>
        <v>-1.8094638836225228</v>
      </c>
      <c r="I60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4.0292336731350442</v>
      </c>
      <c r="J60" s="16">
        <f>IF(IFERROR(Params[[#This Row],[k2,mean]]/Params[[#This Row],[k1,mean]],"-")=0,"-",IFERROR(Params[[#This Row],[k2,mean]]/Params[[#This Row],[k1,mean]],"-"))</f>
        <v>0.7777777777777779</v>
      </c>
      <c r="K60" s="16">
        <f>IFERROR(Params[[#This Row],[k1,mean]]/Params[[#This Row],[k2,mean]],"-")</f>
        <v>1.2857142857142856</v>
      </c>
      <c r="L60" s="16">
        <f>IFERROR(Params[[#This Row],[t1,mean]]/Params[[#This Row],[t2,mean]],"-")</f>
        <v>2.25</v>
      </c>
      <c r="P60" s="29">
        <v>9</v>
      </c>
      <c r="S60" s="30">
        <v>4</v>
      </c>
      <c r="V60" s="31">
        <v>0.09</v>
      </c>
      <c r="Y60" s="32">
        <v>7.0000000000000007E-2</v>
      </c>
      <c r="AH60" s="17"/>
      <c r="AN60" s="19">
        <v>45</v>
      </c>
      <c r="AO60" s="19">
        <v>20</v>
      </c>
    </row>
    <row r="61" spans="1:41" x14ac:dyDescent="0.25">
      <c r="A61" t="s">
        <v>44</v>
      </c>
      <c r="B61" s="4">
        <v>1</v>
      </c>
      <c r="C61" s="4">
        <f>INDEX(Refs[Include],MATCH(Params[[#This Row],[Reference]],Refs[ID],0))</f>
        <v>1</v>
      </c>
      <c r="D61" s="4" t="b">
        <f>Params[[#This Row],[N]]=1</f>
        <v>1</v>
      </c>
      <c r="E61" s="3" t="s">
        <v>49</v>
      </c>
      <c r="F61" s="4" t="b">
        <f>AND(Params[[#This Row],[t1,mean]]&gt;Params[[#This Row],[t2,mean]],Params[[#This Row],[k1,mean]]&lt;Params[[#This Row],[k2,mean]])</f>
        <v>1</v>
      </c>
      <c r="G61" s="4" t="b">
        <f>AND(SUM(Params[[#This Row],[k3,mean]:[t3,se]])=0,SUM(Params[[#This Row],[k1,mean]:[k1,se]])&lt;&gt;0,SUM(Params[[#This Row],[k2,mean]:[k2,se]])&lt;&gt;0)</f>
        <v>1</v>
      </c>
      <c r="H61" s="16">
        <f>IFERROR((Params[[#This Row],[t1,mean]]*Params[[#This Row],[t2,mean]])/(Params[[#This Row],[t1,mean]]-Params[[#This Row],[t2,mean]]) * LN(Params[[#This Row],[k2,mean]]/Params[[#This Row],[k1,mean]]),"-")</f>
        <v>4.9155636204888262</v>
      </c>
      <c r="I61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11.528163600637667</v>
      </c>
      <c r="J61" s="16">
        <f>IF(IFERROR(Params[[#This Row],[k2,mean]]/Params[[#This Row],[k1,mean]],"-")=0,"-",IFERROR(Params[[#This Row],[k2,mean]]/Params[[#This Row],[k1,mean]],"-"))</f>
        <v>1.5479616306954436</v>
      </c>
      <c r="K61" s="16">
        <f>IFERROR(Params[[#This Row],[k1,mean]]/Params[[#This Row],[k2,mean]],"-")</f>
        <v>0.64601084430673894</v>
      </c>
      <c r="L61" s="16">
        <f>IFERROR(Params[[#This Row],[t1,mean]]/Params[[#This Row],[t2,mean]],"-")</f>
        <v>1.8</v>
      </c>
      <c r="P61" s="29">
        <v>9</v>
      </c>
      <c r="S61" s="30">
        <v>5</v>
      </c>
      <c r="V61" s="31">
        <v>0.83399999999999996</v>
      </c>
      <c r="Y61" s="32">
        <v>1.2909999999999999</v>
      </c>
      <c r="AH61" s="17">
        <v>784.98968037257305</v>
      </c>
      <c r="AN61" s="19">
        <v>45</v>
      </c>
      <c r="AO61" s="19">
        <v>20</v>
      </c>
    </row>
    <row r="62" spans="1:41" x14ac:dyDescent="0.25">
      <c r="A62" t="s">
        <v>44</v>
      </c>
      <c r="B62" s="4">
        <v>1</v>
      </c>
      <c r="C62" s="4">
        <f>INDEX(Refs[Include],MATCH(Params[[#This Row],[Reference]],Refs[ID],0))</f>
        <v>1</v>
      </c>
      <c r="E62" s="3" t="s">
        <v>50</v>
      </c>
      <c r="F62" s="4" t="b">
        <f>AND(Params[[#This Row],[t1,mean]]&gt;Params[[#This Row],[t2,mean]],Params[[#This Row],[k1,mean]]&lt;Params[[#This Row],[k2,mean]])</f>
        <v>1</v>
      </c>
      <c r="G62" s="4" t="b">
        <f>AND(SUM(Params[[#This Row],[k3,mean]:[t3,se]])=0,SUM(Params[[#This Row],[k1,mean]:[k1,se]])&lt;&gt;0,SUM(Params[[#This Row],[k2,mean]:[k2,se]])&lt;&gt;0)</f>
        <v>1</v>
      </c>
      <c r="H62" s="16">
        <f>IFERROR((Params[[#This Row],[t1,mean]]*Params[[#This Row],[t2,mean]])/(Params[[#This Row],[t1,mean]]-Params[[#This Row],[t2,mean]]) * LN(Params[[#This Row],[k2,mean]]/Params[[#This Row],[k1,mean]]),"-")</f>
        <v>2.7306446033039555</v>
      </c>
      <c r="I62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7.2582152094585259</v>
      </c>
      <c r="J62" s="16">
        <f>IF(IFERROR(Params[[#This Row],[k2,mean]]/Params[[#This Row],[k1,mean]],"-")=0,"-",IFERROR(Params[[#This Row],[k2,mean]]/Params[[#This Row],[k1,mean]],"-"))</f>
        <v>1.3841368584758942</v>
      </c>
      <c r="K62" s="16">
        <f>IFERROR(Params[[#This Row],[k1,mean]]/Params[[#This Row],[k2,mean]],"-")</f>
        <v>0.72247191011235956</v>
      </c>
      <c r="L62" s="16">
        <f>IFERROR(Params[[#This Row],[t1,mean]]/Params[[#This Row],[t2,mean]],"-")</f>
        <v>1.7142857142857142</v>
      </c>
      <c r="P62" s="29">
        <v>6</v>
      </c>
      <c r="S62" s="30">
        <v>3.5</v>
      </c>
      <c r="V62" s="31">
        <v>1.286</v>
      </c>
      <c r="Y62" s="32">
        <v>1.78</v>
      </c>
      <c r="AH62" s="17"/>
      <c r="AN62" s="19">
        <v>45</v>
      </c>
      <c r="AO62" s="19">
        <v>20</v>
      </c>
    </row>
    <row r="63" spans="1:41" x14ac:dyDescent="0.25">
      <c r="A63" t="s">
        <v>44</v>
      </c>
      <c r="B63" s="4">
        <v>1</v>
      </c>
      <c r="C63" s="4">
        <f>INDEX(Refs[Include],MATCH(Params[[#This Row],[Reference]],Refs[ID],0))</f>
        <v>1</v>
      </c>
      <c r="D63" s="4" t="b">
        <f>Params[[#This Row],[N]]=1</f>
        <v>1</v>
      </c>
      <c r="E63" s="3" t="s">
        <v>51</v>
      </c>
      <c r="F63" s="4" t="b">
        <f>AND(Params[[#This Row],[t1,mean]]&gt;Params[[#This Row],[t2,mean]],Params[[#This Row],[k1,mean]]&lt;Params[[#This Row],[k2,mean]])</f>
        <v>1</v>
      </c>
      <c r="G63" s="4" t="b">
        <f>AND(SUM(Params[[#This Row],[k3,mean]:[t3,se]])=0,SUM(Params[[#This Row],[k1,mean]:[k1,se]])&lt;&gt;0,SUM(Params[[#This Row],[k2,mean]:[k2,se]])&lt;&gt;0)</f>
        <v>1</v>
      </c>
      <c r="H63" s="16">
        <f>IFERROR((Params[[#This Row],[t1,mean]]*Params[[#This Row],[t2,mean]])/(Params[[#This Row],[t1,mean]]-Params[[#This Row],[t2,mean]]) * LN(Params[[#This Row],[k2,mean]]/Params[[#This Row],[k1,mean]]),"-")</f>
        <v>2.408048345545815</v>
      </c>
      <c r="I63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5.8602332149671863</v>
      </c>
      <c r="J63" s="16">
        <f>IF(IFERROR(Params[[#This Row],[k2,mean]]/Params[[#This Row],[k1,mean]],"-")=0,"-",IFERROR(Params[[#This Row],[k2,mean]]/Params[[#This Row],[k1,mean]],"-"))</f>
        <v>1.2222222222222223</v>
      </c>
      <c r="K63" s="16">
        <f>IFERROR(Params[[#This Row],[k1,mean]]/Params[[#This Row],[k2,mean]],"-")</f>
        <v>0.81818181818181812</v>
      </c>
      <c r="L63" s="16">
        <f>IFERROR(Params[[#This Row],[t1,mean]]/Params[[#This Row],[t2,mean]],"-")</f>
        <v>1.3333333333333333</v>
      </c>
      <c r="P63" s="29">
        <v>4</v>
      </c>
      <c r="S63" s="30">
        <v>3</v>
      </c>
      <c r="V63" s="31">
        <v>0.09</v>
      </c>
      <c r="Y63" s="32">
        <v>0.11</v>
      </c>
      <c r="AH63" s="17">
        <v>1223.66896373645</v>
      </c>
      <c r="AN63" s="19">
        <v>70</v>
      </c>
      <c r="AO63" s="19">
        <v>20</v>
      </c>
    </row>
    <row r="64" spans="1:41" x14ac:dyDescent="0.25">
      <c r="A64" t="s">
        <v>44</v>
      </c>
      <c r="B64" s="4">
        <v>1</v>
      </c>
      <c r="C64" s="4">
        <f>INDEX(Refs[Include],MATCH(Params[[#This Row],[Reference]],Refs[ID],0))</f>
        <v>1</v>
      </c>
      <c r="E64" s="3" t="s">
        <v>52</v>
      </c>
      <c r="F64" s="4" t="b">
        <f>AND(Params[[#This Row],[t1,mean]]&gt;Params[[#This Row],[t2,mean]],Params[[#This Row],[k1,mean]]&lt;Params[[#This Row],[k2,mean]])</f>
        <v>1</v>
      </c>
      <c r="G64" s="4" t="b">
        <f>AND(SUM(Params[[#This Row],[k3,mean]:[t3,se]])=0,SUM(Params[[#This Row],[k1,mean]:[k1,se]])&lt;&gt;0,SUM(Params[[#This Row],[k2,mean]:[k2,se]])&lt;&gt;0)</f>
        <v>1</v>
      </c>
      <c r="H64" s="16">
        <f>IFERROR((Params[[#This Row],[t1,mean]]*Params[[#This Row],[t2,mean]])/(Params[[#This Row],[t1,mean]]-Params[[#This Row],[t2,mean]]) * LN(Params[[#This Row],[k2,mean]]/Params[[#This Row],[k1,mean]]),"-")</f>
        <v>2.2245127022044882</v>
      </c>
      <c r="I64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6.6873837284886815</v>
      </c>
      <c r="J64" s="16">
        <f>IF(IFERROR(Params[[#This Row],[k2,mean]]/Params[[#This Row],[k1,mean]],"-")=0,"-",IFERROR(Params[[#This Row],[k2,mean]]/Params[[#This Row],[k1,mean]],"-"))</f>
        <v>1.1176470588235294</v>
      </c>
      <c r="K64" s="16">
        <f>IFERROR(Params[[#This Row],[k1,mean]]/Params[[#This Row],[k2,mean]],"-")</f>
        <v>0.89473684210526316</v>
      </c>
      <c r="L64" s="16">
        <f>IFERROR(Params[[#This Row],[t1,mean]]/Params[[#This Row],[t2,mean]],"-")</f>
        <v>1.25</v>
      </c>
      <c r="P64" s="29">
        <v>5</v>
      </c>
      <c r="S64" s="30">
        <v>4</v>
      </c>
      <c r="V64" s="31">
        <v>0.17</v>
      </c>
      <c r="Y64" s="32">
        <v>0.19</v>
      </c>
      <c r="AH64" s="17"/>
      <c r="AN64" s="19">
        <v>70</v>
      </c>
      <c r="AO64" s="19">
        <v>20</v>
      </c>
    </row>
    <row r="65" spans="1:41" x14ac:dyDescent="0.25">
      <c r="A65" t="s">
        <v>44</v>
      </c>
      <c r="B65" s="4">
        <v>1</v>
      </c>
      <c r="C65" s="4">
        <f>INDEX(Refs[Include],MATCH(Params[[#This Row],[Reference]],Refs[ID],0))</f>
        <v>1</v>
      </c>
      <c r="E65" s="3" t="s">
        <v>53</v>
      </c>
      <c r="F65" s="4" t="b">
        <f>AND(Params[[#This Row],[t1,mean]]&gt;Params[[#This Row],[t2,mean]],Params[[#This Row],[k1,mean]]&lt;Params[[#This Row],[k2,mean]])</f>
        <v>0</v>
      </c>
      <c r="G65" s="4" t="b">
        <f>AND(SUM(Params[[#This Row],[k3,mean]:[t3,se]])=0,SUM(Params[[#This Row],[k1,mean]:[k1,se]])&lt;&gt;0,SUM(Params[[#This Row],[k2,mean]:[k2,se]])&lt;&gt;0)</f>
        <v>0</v>
      </c>
      <c r="H65" s="16" t="str">
        <f>IFERROR((Params[[#This Row],[t1,mean]]*Params[[#This Row],[t2,mean]])/(Params[[#This Row],[t1,mean]]-Params[[#This Row],[t2,mean]]) * LN(Params[[#This Row],[k2,mean]]/Params[[#This Row],[k1,mean]]),"-")</f>
        <v>-</v>
      </c>
      <c r="I65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65" s="16" t="str">
        <f>IF(IFERROR(Params[[#This Row],[k2,mean]]/Params[[#This Row],[k1,mean]],"-")=0,"-",IFERROR(Params[[#This Row],[k2,mean]]/Params[[#This Row],[k1,mean]],"-"))</f>
        <v>-</v>
      </c>
      <c r="K65" s="41">
        <v>1.29</v>
      </c>
      <c r="L65" s="16">
        <f>IFERROR(Params[[#This Row],[t1,mean]]/Params[[#This Row],[t2,mean]],"-")</f>
        <v>10</v>
      </c>
      <c r="P65" s="29">
        <v>10</v>
      </c>
      <c r="S65" s="30">
        <v>1</v>
      </c>
      <c r="V65" s="31">
        <v>0</v>
      </c>
      <c r="Y65" s="32">
        <v>0</v>
      </c>
      <c r="AH65" s="17"/>
      <c r="AN65" s="19">
        <v>70</v>
      </c>
      <c r="AO65" s="19">
        <v>20</v>
      </c>
    </row>
    <row r="66" spans="1:41" x14ac:dyDescent="0.25">
      <c r="A66" t="s">
        <v>44</v>
      </c>
      <c r="B66" s="4">
        <v>1</v>
      </c>
      <c r="C66" s="4">
        <f>INDEX(Refs[Include],MATCH(Params[[#This Row],[Reference]],Refs[ID],0))</f>
        <v>1</v>
      </c>
      <c r="D66" s="4" t="b">
        <f>Params[[#This Row],[N]]=1</f>
        <v>1</v>
      </c>
      <c r="E66" s="3" t="s">
        <v>54</v>
      </c>
      <c r="F66" s="4" t="b">
        <f>AND(Params[[#This Row],[t1,mean]]&gt;Params[[#This Row],[t2,mean]],Params[[#This Row],[k1,mean]]&lt;Params[[#This Row],[k2,mean]])</f>
        <v>0</v>
      </c>
      <c r="G66" s="4" t="b">
        <f>AND(SUM(Params[[#This Row],[k3,mean]:[t3,se]])=0,SUM(Params[[#This Row],[k1,mean]:[k1,se]])&lt;&gt;0,SUM(Params[[#This Row],[k2,mean]:[k2,se]])&lt;&gt;0)</f>
        <v>1</v>
      </c>
      <c r="H66" s="16" t="str">
        <f>IFERROR((Params[[#This Row],[t1,mean]]*Params[[#This Row],[t2,mean]])/(Params[[#This Row],[t1,mean]]-Params[[#This Row],[t2,mean]]) * LN(Params[[#This Row],[k2,mean]]/Params[[#This Row],[k1,mean]]),"-")</f>
        <v>-</v>
      </c>
      <c r="I66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66" s="16">
        <f>IF(IFERROR(Params[[#This Row],[k2,mean]]/Params[[#This Row],[k1,mean]],"-")=0,"-",IFERROR(Params[[#This Row],[k2,mean]]/Params[[#This Row],[k1,mean]],"-"))</f>
        <v>0.35869565217391308</v>
      </c>
      <c r="K66" s="16">
        <f>IFERROR(Params[[#This Row],[k1,mean]]/Params[[#This Row],[k2,mean]],"-")</f>
        <v>2.7878787878787876</v>
      </c>
      <c r="L66" s="16">
        <f>IFERROR(Params[[#This Row],[t1,mean]]/Params[[#This Row],[t2,mean]],"-")</f>
        <v>1</v>
      </c>
      <c r="P66" s="29">
        <v>13</v>
      </c>
      <c r="S66" s="30">
        <v>13</v>
      </c>
      <c r="V66" s="31">
        <v>9.1999999999999998E-2</v>
      </c>
      <c r="Y66" s="32">
        <v>3.3000000000000002E-2</v>
      </c>
      <c r="AH66" s="17">
        <v>816.24679244066294</v>
      </c>
      <c r="AN66" s="19">
        <v>70</v>
      </c>
      <c r="AO66" s="19">
        <v>20</v>
      </c>
    </row>
    <row r="67" spans="1:41" x14ac:dyDescent="0.25">
      <c r="A67" t="s">
        <v>44</v>
      </c>
      <c r="B67" s="4">
        <v>1</v>
      </c>
      <c r="C67" s="4">
        <f>INDEX(Refs[Include],MATCH(Params[[#This Row],[Reference]],Refs[ID],0))</f>
        <v>1</v>
      </c>
      <c r="E67" s="3" t="s">
        <v>55</v>
      </c>
      <c r="F67" s="4" t="b">
        <f>AND(Params[[#This Row],[t1,mean]]&gt;Params[[#This Row],[t2,mean]],Params[[#This Row],[k1,mean]]&lt;Params[[#This Row],[k2,mean]])</f>
        <v>0</v>
      </c>
      <c r="G67" s="4" t="b">
        <f>AND(SUM(Params[[#This Row],[k3,mean]:[t3,se]])=0,SUM(Params[[#This Row],[k1,mean]:[k1,se]])&lt;&gt;0,SUM(Params[[#This Row],[k2,mean]:[k2,se]])&lt;&gt;0)</f>
        <v>1</v>
      </c>
      <c r="H67" s="16">
        <f>IFERROR((Params[[#This Row],[t1,mean]]*Params[[#This Row],[t2,mean]])/(Params[[#This Row],[t1,mean]]-Params[[#This Row],[t2,mean]]) * LN(Params[[#This Row],[k2,mean]]/Params[[#This Row],[k1,mean]]),"-")</f>
        <v>-849.18452369466831</v>
      </c>
      <c r="I67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-821.20833929565856</v>
      </c>
      <c r="J67" s="16">
        <f>IF(IFERROR(Params[[#This Row],[k2,mean]]/Params[[#This Row],[k1,mean]],"-")=0,"-",IFERROR(Params[[#This Row],[k2,mean]]/Params[[#This Row],[k1,mean]],"-"))</f>
        <v>0.11428571428571428</v>
      </c>
      <c r="K67" s="16">
        <f>IFERROR(Params[[#This Row],[k1,mean]]/Params[[#This Row],[k2,mean]],"-")</f>
        <v>8.75</v>
      </c>
      <c r="L67" s="16">
        <f>IFERROR(Params[[#This Row],[t1,mean]]/Params[[#This Row],[t2,mean]],"-")</f>
        <v>1.0740740740740742</v>
      </c>
      <c r="P67" s="29">
        <v>29</v>
      </c>
      <c r="S67" s="30">
        <v>27</v>
      </c>
      <c r="V67" s="31">
        <v>7.0000000000000007E-2</v>
      </c>
      <c r="Y67" s="32">
        <v>8.0000000000000002E-3</v>
      </c>
      <c r="AH67" s="17"/>
      <c r="AN67" s="19">
        <v>70</v>
      </c>
      <c r="AO67" s="19">
        <v>20</v>
      </c>
    </row>
    <row r="68" spans="1:41" x14ac:dyDescent="0.25">
      <c r="A68" t="s">
        <v>44</v>
      </c>
      <c r="B68" s="4">
        <v>1</v>
      </c>
      <c r="C68" s="4">
        <f>INDEX(Refs[Include],MATCH(Params[[#This Row],[Reference]],Refs[ID],0))</f>
        <v>1</v>
      </c>
      <c r="E68" s="3" t="s">
        <v>56</v>
      </c>
      <c r="F68" s="4" t="b">
        <f>AND(Params[[#This Row],[t1,mean]]&gt;Params[[#This Row],[t2,mean]],Params[[#This Row],[k1,mean]]&lt;Params[[#This Row],[k2,mean]])</f>
        <v>0</v>
      </c>
      <c r="G68" s="4" t="b">
        <f>AND(SUM(Params[[#This Row],[k3,mean]:[t3,se]])=0,SUM(Params[[#This Row],[k1,mean]:[k1,se]])&lt;&gt;0,SUM(Params[[#This Row],[k2,mean]:[k2,se]])&lt;&gt;0)</f>
        <v>0</v>
      </c>
      <c r="H68" s="16" t="str">
        <f>IFERROR((Params[[#This Row],[t1,mean]]*Params[[#This Row],[t2,mean]])/(Params[[#This Row],[t1,mean]]-Params[[#This Row],[t2,mean]]) * LN(Params[[#This Row],[k2,mean]]/Params[[#This Row],[k1,mean]]),"-")</f>
        <v>-</v>
      </c>
      <c r="I68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68" s="16" t="str">
        <f>IF(IFERROR(Params[[#This Row],[k2,mean]]/Params[[#This Row],[k1,mean]],"-")=0,"-",IFERROR(Params[[#This Row],[k2,mean]]/Params[[#This Row],[k1,mean]],"-"))</f>
        <v>-</v>
      </c>
      <c r="K68" s="41">
        <v>2.78</v>
      </c>
      <c r="L68" s="16">
        <f>IFERROR(Params[[#This Row],[t1,mean]]/Params[[#This Row],[t2,mean]],"-")</f>
        <v>1</v>
      </c>
      <c r="P68" s="29">
        <v>41</v>
      </c>
      <c r="Q68" s="10"/>
      <c r="R68" s="10"/>
      <c r="S68" s="30">
        <v>41</v>
      </c>
      <c r="V68" s="31">
        <v>0</v>
      </c>
      <c r="Y68" s="32">
        <v>0</v>
      </c>
      <c r="AH68" s="17"/>
      <c r="AN68" s="19">
        <v>70</v>
      </c>
      <c r="AO68" s="19">
        <v>20</v>
      </c>
    </row>
    <row r="69" spans="1:41" x14ac:dyDescent="0.25">
      <c r="A69" t="s">
        <v>44</v>
      </c>
      <c r="B69" s="4">
        <v>1</v>
      </c>
      <c r="C69" s="4">
        <f>INDEX(Refs[Include],MATCH(Params[[#This Row],[Reference]],Refs[ID],0))</f>
        <v>1</v>
      </c>
      <c r="D69" s="4" t="b">
        <f>Params[[#This Row],[N]]=1</f>
        <v>1</v>
      </c>
      <c r="E69" s="3" t="s">
        <v>57</v>
      </c>
      <c r="F69" s="4" t="b">
        <f>AND(Params[[#This Row],[t1,mean]]&gt;Params[[#This Row],[t2,mean]],Params[[#This Row],[k1,mean]]&lt;Params[[#This Row],[k2,mean]])</f>
        <v>0</v>
      </c>
      <c r="G69" s="4" t="b">
        <f>AND(SUM(Params[[#This Row],[k3,mean]:[t3,se]])=0,SUM(Params[[#This Row],[k1,mean]:[k1,se]])&lt;&gt;0,SUM(Params[[#This Row],[k2,mean]:[k2,se]])&lt;&gt;0)</f>
        <v>1</v>
      </c>
      <c r="H69" s="16">
        <f>IFERROR((Params[[#This Row],[t1,mean]]*Params[[#This Row],[t2,mean]])/(Params[[#This Row],[t1,mean]]-Params[[#This Row],[t2,mean]]) * LN(Params[[#This Row],[k2,mean]]/Params[[#This Row],[k1,mean]]),"-")</f>
        <v>12.089784370403237</v>
      </c>
      <c r="I69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26.737080372431308</v>
      </c>
      <c r="J69" s="16">
        <f>IF(IFERROR(Params[[#This Row],[k2,mean]]/Params[[#This Row],[k1,mean]],"-")=0,"-",IFERROR(Params[[#This Row],[k2,mean]]/Params[[#This Row],[k1,mean]],"-"))</f>
        <v>0.57773109243697485</v>
      </c>
      <c r="K69" s="16">
        <f>IFERROR(Params[[#This Row],[k1,mean]]/Params[[#This Row],[k2,mean]],"-")</f>
        <v>1.7309090909090907</v>
      </c>
      <c r="L69" s="16">
        <f>IFERROR(Params[[#This Row],[t1,mean]]/Params[[#This Row],[t2,mean]],"-")</f>
        <v>0.51442307692307687</v>
      </c>
      <c r="P69" s="29">
        <v>10.7</v>
      </c>
      <c r="Q69" s="10"/>
      <c r="R69" s="10"/>
      <c r="S69" s="30">
        <v>20.8</v>
      </c>
      <c r="V69" s="31">
        <v>0.47599999999999998</v>
      </c>
      <c r="Y69" s="32">
        <v>0.27500000000000002</v>
      </c>
      <c r="AH69" s="17">
        <v>597.74220099093702</v>
      </c>
      <c r="AN69" s="19">
        <v>70</v>
      </c>
      <c r="AO69" s="19">
        <v>20</v>
      </c>
    </row>
    <row r="70" spans="1:41" x14ac:dyDescent="0.25">
      <c r="A70" t="s">
        <v>44</v>
      </c>
      <c r="B70" s="4">
        <v>1</v>
      </c>
      <c r="C70" s="4">
        <f>INDEX(Refs[Include],MATCH(Params[[#This Row],[Reference]],Refs[ID],0))</f>
        <v>1</v>
      </c>
      <c r="E70" s="3" t="s">
        <v>58</v>
      </c>
      <c r="F70" s="4" t="b">
        <f>AND(Params[[#This Row],[t1,mean]]&gt;Params[[#This Row],[t2,mean]],Params[[#This Row],[k1,mean]]&lt;Params[[#This Row],[k2,mean]])</f>
        <v>0</v>
      </c>
      <c r="G70" s="4" t="b">
        <f>AND(SUM(Params[[#This Row],[k3,mean]:[t3,se]])=0,SUM(Params[[#This Row],[k1,mean]:[k1,se]])&lt;&gt;0,SUM(Params[[#This Row],[k2,mean]:[k2,se]])&lt;&gt;0)</f>
        <v>1</v>
      </c>
      <c r="H70" s="16">
        <f>IFERROR((Params[[#This Row],[t1,mean]]*Params[[#This Row],[t2,mean]])/(Params[[#This Row],[t1,mean]]-Params[[#This Row],[t2,mean]]) * LN(Params[[#This Row],[k2,mean]]/Params[[#This Row],[k1,mean]]),"-")</f>
        <v>-17.567557158199271</v>
      </c>
      <c r="I70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-3.2513472402697774</v>
      </c>
      <c r="J70" s="16">
        <f>IF(IFERROR(Params[[#This Row],[k2,mean]]/Params[[#This Row],[k1,mean]],"-")=0,"-",IFERROR(Params[[#This Row],[k2,mean]]/Params[[#This Row],[k1,mean]],"-"))</f>
        <v>2.875</v>
      </c>
      <c r="K70" s="41">
        <v>3.46</v>
      </c>
      <c r="L70" s="16">
        <f>IFERROR(Params[[#This Row],[t1,mean]]/Params[[#This Row],[t2,mean]],"-")</f>
        <v>0.42290748898678415</v>
      </c>
      <c r="P70" s="29">
        <v>9.6</v>
      </c>
      <c r="Q70" s="10"/>
      <c r="R70" s="10"/>
      <c r="S70" s="30">
        <v>22.7</v>
      </c>
      <c r="V70" s="31">
        <v>3.2000000000000001E-2</v>
      </c>
      <c r="Y70" s="32">
        <v>9.1999999999999998E-2</v>
      </c>
      <c r="AN70" s="19">
        <v>70</v>
      </c>
      <c r="AO70" s="19">
        <v>20</v>
      </c>
    </row>
    <row r="71" spans="1:41" x14ac:dyDescent="0.25">
      <c r="A71" t="s">
        <v>44</v>
      </c>
      <c r="B71" s="4">
        <v>1</v>
      </c>
      <c r="C71" s="4">
        <f>INDEX(Refs[Include],MATCH(Params[[#This Row],[Reference]],Refs[ID],0))</f>
        <v>1</v>
      </c>
      <c r="E71" s="3" t="s">
        <v>59</v>
      </c>
      <c r="F71" s="4" t="b">
        <f>AND(Params[[#This Row],[t1,mean]]&gt;Params[[#This Row],[t2,mean]],Params[[#This Row],[k1,mean]]&lt;Params[[#This Row],[k2,mean]])</f>
        <v>0</v>
      </c>
      <c r="G71" s="4" t="b">
        <f>AND(SUM(Params[[#This Row],[k3,mean]:[t3,se]])=0,SUM(Params[[#This Row],[k1,mean]:[k1,se]])&lt;&gt;0,SUM(Params[[#This Row],[k2,mean]:[k2,se]])&lt;&gt;0)</f>
        <v>0</v>
      </c>
      <c r="H71" s="16" t="str">
        <f>IFERROR((Params[[#This Row],[t1,mean]]*Params[[#This Row],[t2,mean]])/(Params[[#This Row],[t1,mean]]-Params[[#This Row],[t2,mean]]) * LN(Params[[#This Row],[k2,mean]]/Params[[#This Row],[k1,mean]]),"-")</f>
        <v>-</v>
      </c>
      <c r="I71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71" s="16" t="str">
        <f>IF(IFERROR(Params[[#This Row],[k2,mean]]/Params[[#This Row],[k1,mean]],"-")=0,"-",IFERROR(Params[[#This Row],[k2,mean]]/Params[[#This Row],[k1,mean]],"-"))</f>
        <v>-</v>
      </c>
      <c r="K71" s="41">
        <v>2.7E-2</v>
      </c>
      <c r="L71" s="16">
        <f>IFERROR(Params[[#This Row],[t1,mean]]/Params[[#This Row],[t2,mean]],"-")</f>
        <v>45</v>
      </c>
      <c r="P71" s="29">
        <v>45</v>
      </c>
      <c r="S71" s="30">
        <v>1</v>
      </c>
      <c r="V71" s="31">
        <v>0</v>
      </c>
      <c r="Y71" s="32">
        <v>0</v>
      </c>
      <c r="AN71" s="19">
        <v>70</v>
      </c>
      <c r="AO71" s="19">
        <v>20</v>
      </c>
    </row>
    <row r="72" spans="1:41" x14ac:dyDescent="0.25">
      <c r="A72" t="s">
        <v>152</v>
      </c>
      <c r="B72" s="4">
        <v>1</v>
      </c>
      <c r="C72" s="4">
        <f>INDEX(Refs[Include],MATCH(Params[[#This Row],[Reference]],Refs[ID],0))</f>
        <v>1</v>
      </c>
      <c r="D72" s="4" t="b">
        <f>Params[[#This Row],[N]]=1</f>
        <v>1</v>
      </c>
      <c r="E72" s="3">
        <v>1</v>
      </c>
      <c r="F72" s="4" t="b">
        <f>AND(Params[[#This Row],[t1,mean]]&gt;Params[[#This Row],[t2,mean]],Params[[#This Row],[k1,mean]]&lt;Params[[#This Row],[k2,mean]])</f>
        <v>1</v>
      </c>
      <c r="G72" s="4" t="b">
        <f>AND(SUM(Params[[#This Row],[k3,mean]:[t3,se]])=0,SUM(Params[[#This Row],[k1,mean]:[k1,se]])&lt;&gt;0,SUM(Params[[#This Row],[k2,mean]:[k2,se]])&lt;&gt;0)</f>
        <v>1</v>
      </c>
      <c r="H72" s="16">
        <f>IFERROR((Params[[#This Row],[t1,mean]]*Params[[#This Row],[t2,mean]])/(Params[[#This Row],[t1,mean]]-Params[[#This Row],[t2,mean]]) * LN(Params[[#This Row],[k2,mean]]/Params[[#This Row],[k1,mean]]),"-")</f>
        <v>2.2267462157013949</v>
      </c>
      <c r="I72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19.776216061070507</v>
      </c>
      <c r="J72" s="16">
        <f>IF(IFERROR(Params[[#This Row],[k2,mean]]/Params[[#This Row],[k1,mean]],"-")=0,"-",IFERROR(Params[[#This Row],[k2,mean]]/Params[[#This Row],[k1,mean]],"-"))</f>
        <v>1.368421052631579</v>
      </c>
      <c r="K72" s="16">
        <f>IFERROR(Params[[#This Row],[k1,mean]]/Params[[#This Row],[k2,mean]],"-")</f>
        <v>0.73076923076923073</v>
      </c>
      <c r="L72" s="16">
        <f>IFERROR(Params[[#This Row],[t1,mean]]/Params[[#This Row],[t2,mean]],"-")</f>
        <v>11.846153846153847</v>
      </c>
      <c r="M72" s="28">
        <v>208</v>
      </c>
      <c r="P72" s="29">
        <v>77</v>
      </c>
      <c r="S72" s="30">
        <v>6.5</v>
      </c>
      <c r="V72" s="31">
        <v>0.19</v>
      </c>
      <c r="Y72" s="32">
        <v>0.26</v>
      </c>
      <c r="AN72">
        <v>532</v>
      </c>
      <c r="AO72">
        <v>18</v>
      </c>
    </row>
    <row r="73" spans="1:41" x14ac:dyDescent="0.25">
      <c r="A73" s="6" t="s">
        <v>176</v>
      </c>
      <c r="B73" s="9">
        <v>5</v>
      </c>
      <c r="C73" s="9">
        <f>INDEX(Refs[Include],MATCH(Params[[#This Row],[Reference]],Refs[ID],0))</f>
        <v>0</v>
      </c>
      <c r="D73" s="9" t="b">
        <f>Params[[#This Row],[N]]=1</f>
        <v>0</v>
      </c>
      <c r="E73" s="3" t="s">
        <v>178</v>
      </c>
      <c r="F73" s="4" t="b">
        <f>AND(Params[[#This Row],[t1,mean]]&gt;Params[[#This Row],[t2,mean]],Params[[#This Row],[k1,mean]]&lt;Params[[#This Row],[k2,mean]])</f>
        <v>0</v>
      </c>
      <c r="G73" s="4" t="b">
        <f>AND(SUM(Params[[#This Row],[k3,mean]:[t3,se]])=0,SUM(Params[[#This Row],[k1,mean]:[k1,se]])&lt;&gt;0,SUM(Params[[#This Row],[k2,mean]:[k2,se]])&lt;&gt;0)</f>
        <v>0</v>
      </c>
      <c r="H73" s="16" t="str">
        <f>IFERROR((Params[[#This Row],[t1,mean]]*Params[[#This Row],[t2,mean]])/(Params[[#This Row],[t1,mean]]-Params[[#This Row],[t2,mean]]) * LN(Params[[#This Row],[k2,mean]]/Params[[#This Row],[k1,mean]]),"-")</f>
        <v>-</v>
      </c>
      <c r="I73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73" s="16" t="str">
        <f>IF(IFERROR(Params[[#This Row],[k2,mean]]/Params[[#This Row],[k1,mean]],"-")=0,"-",IFERROR(Params[[#This Row],[k2,mean]]/Params[[#This Row],[k1,mean]],"-"))</f>
        <v>-</v>
      </c>
      <c r="K73" s="16" t="str">
        <f>IFERROR(Params[[#This Row],[k1,mean]]/Params[[#This Row],[k2,mean]],"-")</f>
        <v>-</v>
      </c>
      <c r="L73" s="16">
        <f>IFERROR(Params[[#This Row],[t1,mean]]/Params[[#This Row],[t2,mean]],"-")</f>
        <v>3.0505050505050502</v>
      </c>
      <c r="P73" s="29">
        <v>60.4</v>
      </c>
      <c r="Q73">
        <v>0.7</v>
      </c>
      <c r="S73" s="30">
        <v>19.8</v>
      </c>
      <c r="T73">
        <v>4.5999999999999999E-2</v>
      </c>
      <c r="V73" s="31">
        <v>4.3E-3</v>
      </c>
      <c r="W73">
        <v>2.0000000000000001E-4</v>
      </c>
      <c r="AB73">
        <v>6.1999999999999999E-6</v>
      </c>
      <c r="AC73">
        <v>1.5E-6</v>
      </c>
      <c r="AE73">
        <v>5.5</v>
      </c>
      <c r="AF73">
        <v>0.8</v>
      </c>
      <c r="AH73">
        <v>27.7</v>
      </c>
      <c r="AI73">
        <v>12.9</v>
      </c>
      <c r="AJ73">
        <v>19.600000000000001</v>
      </c>
      <c r="AK73">
        <v>332</v>
      </c>
      <c r="AL73">
        <v>207</v>
      </c>
      <c r="AM73">
        <v>69.8</v>
      </c>
      <c r="AN73">
        <v>85</v>
      </c>
      <c r="AO73">
        <v>33</v>
      </c>
    </row>
    <row r="74" spans="1:41" x14ac:dyDescent="0.25">
      <c r="A74" t="s">
        <v>25</v>
      </c>
      <c r="B74" s="4">
        <v>6</v>
      </c>
      <c r="C74" s="4">
        <f>INDEX(Refs[Include],MATCH(Params[[#This Row],[Reference]],Refs[ID],0))</f>
        <v>1</v>
      </c>
      <c r="D74" s="4" t="b">
        <f>Params[[#This Row],[N]]=1</f>
        <v>0</v>
      </c>
      <c r="E74" s="3" t="s">
        <v>26</v>
      </c>
      <c r="F74" s="4" t="b">
        <f>AND(Params[[#This Row],[t1,mean]]&gt;Params[[#This Row],[t2,mean]],Params[[#This Row],[k1,mean]]&lt;Params[[#This Row],[k2,mean]])</f>
        <v>0</v>
      </c>
      <c r="G74" s="4" t="b">
        <f>AND(SUM(Params[[#This Row],[k3,mean]:[t3,se]])=0,SUM(Params[[#This Row],[k1,mean]:[k1,se]])&lt;&gt;0,SUM(Params[[#This Row],[k2,mean]:[k2,se]])&lt;&gt;0)</f>
        <v>0</v>
      </c>
      <c r="H74" s="16" t="str">
        <f>IFERROR((Params[[#This Row],[t1,mean]]*Params[[#This Row],[t2,mean]])/(Params[[#This Row],[t1,mean]]-Params[[#This Row],[t2,mean]]) * LN(Params[[#This Row],[k2,mean]]/Params[[#This Row],[k1,mean]]),"-")</f>
        <v>-</v>
      </c>
      <c r="I74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74" s="16" t="str">
        <f>IF(IFERROR(Params[[#This Row],[k2,mean]]/Params[[#This Row],[k1,mean]],"-")=0,"-",IFERROR(Params[[#This Row],[k2,mean]]/Params[[#This Row],[k1,mean]],"-"))</f>
        <v>-</v>
      </c>
      <c r="K74" s="16" t="str">
        <f>IFERROR(Params[[#This Row],[k1,mean]]/Params[[#This Row],[k2,mean]],"-")</f>
        <v>-</v>
      </c>
      <c r="L74" s="16">
        <f>IFERROR(Params[[#This Row],[t1,mean]]/Params[[#This Row],[t2,mean]],"-")</f>
        <v>1.0360360360360361</v>
      </c>
      <c r="P74" s="29">
        <v>23</v>
      </c>
      <c r="Q74">
        <v>4.3</v>
      </c>
      <c r="S74" s="30">
        <v>22.2</v>
      </c>
      <c r="T74">
        <v>4.0999999999999996</v>
      </c>
    </row>
    <row r="75" spans="1:41" x14ac:dyDescent="0.25">
      <c r="A75" t="s">
        <v>126</v>
      </c>
      <c r="B75" s="4">
        <v>6</v>
      </c>
      <c r="C75" s="4">
        <f>INDEX(Refs[Include],MATCH(Params[[#This Row],[Reference]],Refs[ID],0))</f>
        <v>1</v>
      </c>
      <c r="D75" s="4" t="b">
        <f>Params[[#This Row],[N]]=1</f>
        <v>0</v>
      </c>
      <c r="E75" s="3" t="s">
        <v>165</v>
      </c>
      <c r="F75" s="4" t="b">
        <f>AND(Params[[#This Row],[t1,mean]]&gt;Params[[#This Row],[t2,mean]],Params[[#This Row],[k1,mean]]&lt;Params[[#This Row],[k2,mean]])</f>
        <v>0</v>
      </c>
      <c r="G75" s="4" t="b">
        <f>AND(SUM(Params[[#This Row],[k3,mean]:[t3,se]])=0,SUM(Params[[#This Row],[k1,mean]:[k1,se]])&lt;&gt;0,SUM(Params[[#This Row],[k2,mean]:[k2,se]])&lt;&gt;0)</f>
        <v>1</v>
      </c>
      <c r="H75" s="16">
        <f>IFERROR((Params[[#This Row],[t1,mean]]*Params[[#This Row],[t2,mean]])/(Params[[#This Row],[t1,mean]]-Params[[#This Row],[t2,mean]]) * LN(Params[[#This Row],[k2,mean]]/Params[[#This Row],[k1,mean]]),"-")</f>
        <v>-0.67132117452848972</v>
      </c>
      <c r="I75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14.236337517856883</v>
      </c>
      <c r="J75" s="16">
        <f>IF(IFERROR(Params[[#This Row],[k2,mean]]/Params[[#This Row],[k1,mean]],"-")=0,"-",IFERROR(Params[[#This Row],[k2,mean]]/Params[[#This Row],[k1,mean]],"-"))</f>
        <v>0.94348546438823289</v>
      </c>
      <c r="K75" s="16">
        <f>IFERROR(Params[[#This Row],[k1,mean]]/Params[[#This Row],[k2,mean]],"-")</f>
        <v>1.0598997416970402</v>
      </c>
      <c r="L75" s="16">
        <f>IFERROR(Params[[#This Row],[t1,mean]]/Params[[#This Row],[t2,mean]],"-")</f>
        <v>3.6394952862314951</v>
      </c>
      <c r="M75" s="28">
        <f>AVERAGEIFS(Params[p0,mean],Params[Reference],Params[[#This Row],[Reference]],Params[paricipant],"&gt;0")</f>
        <v>271.11949999999996</v>
      </c>
      <c r="P75" s="29">
        <v>30.459300000000002</v>
      </c>
      <c r="Q75">
        <v>0</v>
      </c>
      <c r="S75" s="30">
        <v>8.3690999999999995</v>
      </c>
      <c r="T75">
        <v>0.76750000000000007</v>
      </c>
      <c r="V75" s="31">
        <v>2.0762799999999998E-2</v>
      </c>
      <c r="W75">
        <v>1.1907000000000029E-3</v>
      </c>
      <c r="Y75" s="32">
        <v>1.95894E-2</v>
      </c>
      <c r="Z75">
        <v>2.0184999999999995E-3</v>
      </c>
    </row>
    <row r="76" spans="1:41" x14ac:dyDescent="0.25">
      <c r="A76" t="s">
        <v>155</v>
      </c>
      <c r="B76" s="4">
        <v>6</v>
      </c>
      <c r="C76" s="4">
        <f>INDEX(Refs[Include],MATCH(Params[[#This Row],[Reference]],Refs[ID],0))</f>
        <v>0</v>
      </c>
      <c r="D76" s="4" t="b">
        <f>Params[[#This Row],[N]]=1</f>
        <v>0</v>
      </c>
      <c r="E76" s="3" t="s">
        <v>165</v>
      </c>
      <c r="F76" s="4" t="b">
        <f>AND(Params[[#This Row],[t1,mean]]&gt;Params[[#This Row],[t2,mean]],Params[[#This Row],[k1,mean]]&lt;Params[[#This Row],[k2,mean]])</f>
        <v>0</v>
      </c>
      <c r="G76" s="4" t="b">
        <f>AND(SUM(Params[[#This Row],[k3,mean]:[t3,se]])=0,SUM(Params[[#This Row],[k1,mean]:[k1,se]])&lt;&gt;0,SUM(Params[[#This Row],[k2,mean]:[k2,se]])&lt;&gt;0)</f>
        <v>0</v>
      </c>
      <c r="H76" s="16" t="str">
        <f>IFERROR((Params[[#This Row],[t1,mean]]*Params[[#This Row],[t2,mean]])/(Params[[#This Row],[t1,mean]]-Params[[#This Row],[t2,mean]]) * LN(Params[[#This Row],[k2,mean]]/Params[[#This Row],[k1,mean]]),"-")</f>
        <v>-</v>
      </c>
      <c r="I76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76" s="16" t="str">
        <f>IF(IFERROR(Params[[#This Row],[k2,mean]]/Params[[#This Row],[k1,mean]],"-")=0,"-",IFERROR(Params[[#This Row],[k2,mean]]/Params[[#This Row],[k1,mean]],"-"))</f>
        <v>-</v>
      </c>
      <c r="K76" s="16" t="str">
        <f>IFERROR(Params[[#This Row],[k1,mean]]/Params[[#This Row],[k2,mean]],"-")</f>
        <v>-</v>
      </c>
      <c r="L76" s="16">
        <f>IFERROR(Params[[#This Row],[t1,mean]]/Params[[#This Row],[t2,mean]],"-")</f>
        <v>1.8333333333333333</v>
      </c>
      <c r="M76" s="28">
        <v>240</v>
      </c>
      <c r="P76" s="29">
        <v>30.8</v>
      </c>
      <c r="Q76">
        <v>1.6</v>
      </c>
      <c r="S76" s="30">
        <v>16.8</v>
      </c>
      <c r="T76">
        <v>3.3</v>
      </c>
      <c r="V76" s="31">
        <v>3.1E-2</v>
      </c>
      <c r="W76">
        <v>7.0000000000000001E-3</v>
      </c>
      <c r="AB76">
        <v>3.4999999999999997E-5</v>
      </c>
      <c r="AC76">
        <v>1.0000000000000001E-5</v>
      </c>
    </row>
    <row r="77" spans="1:41" x14ac:dyDescent="0.25">
      <c r="A77" s="6" t="s">
        <v>181</v>
      </c>
      <c r="B77" s="9">
        <v>6</v>
      </c>
      <c r="C77" s="9">
        <f>INDEX(Refs[Include],MATCH(Params[[#This Row],[Reference]],Refs[ID],0))</f>
        <v>0</v>
      </c>
      <c r="D77" s="9" t="b">
        <f>Params[[#This Row],[N]]=1</f>
        <v>0</v>
      </c>
      <c r="E77" s="3" t="s">
        <v>183</v>
      </c>
      <c r="F77" s="4" t="b">
        <f>AND(Params[[#This Row],[t1,mean]]&gt;Params[[#This Row],[t2,mean]],Params[[#This Row],[k1,mean]]&lt;Params[[#This Row],[k2,mean]])</f>
        <v>0</v>
      </c>
      <c r="G77" s="4" t="b">
        <f>AND(SUM(Params[[#This Row],[k3,mean]:[t3,se]])=0,SUM(Params[[#This Row],[k1,mean]:[k1,se]])&lt;&gt;0,SUM(Params[[#This Row],[k2,mean]:[k2,se]])&lt;&gt;0)</f>
        <v>0</v>
      </c>
      <c r="H77" s="16" t="str">
        <f>IFERROR((Params[[#This Row],[t1,mean]]*Params[[#This Row],[t2,mean]])/(Params[[#This Row],[t1,mean]]-Params[[#This Row],[t2,mean]]) * LN(Params[[#This Row],[k2,mean]]/Params[[#This Row],[k1,mean]]),"-")</f>
        <v>-</v>
      </c>
      <c r="I77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77" s="16" t="str">
        <f>IF(IFERROR(Params[[#This Row],[k2,mean]]/Params[[#This Row],[k1,mean]],"-")=0,"-",IFERROR(Params[[#This Row],[k2,mean]]/Params[[#This Row],[k1,mean]],"-"))</f>
        <v>-</v>
      </c>
      <c r="K77" s="16" t="str">
        <f>IFERROR(Params[[#This Row],[k1,mean]]/Params[[#This Row],[k2,mean]],"-")</f>
        <v>-</v>
      </c>
      <c r="L77" s="16">
        <f>IFERROR(Params[[#This Row],[t1,mean]]/Params[[#This Row],[t2,mean]],"-")</f>
        <v>1.8333333333333333</v>
      </c>
      <c r="P77" s="29">
        <v>30.8</v>
      </c>
      <c r="Q77">
        <v>1.6</v>
      </c>
      <c r="S77" s="30">
        <v>16.8</v>
      </c>
      <c r="T77">
        <v>3.3</v>
      </c>
      <c r="V77" s="31">
        <v>3.1E-2</v>
      </c>
      <c r="W77">
        <v>7.3000000000000001E-3</v>
      </c>
      <c r="AB77">
        <v>3.4999999999999997E-5</v>
      </c>
      <c r="AC77">
        <v>1.0000000000000001E-5</v>
      </c>
      <c r="AE77">
        <v>2.2999999999999998</v>
      </c>
      <c r="AF77">
        <v>1</v>
      </c>
    </row>
    <row r="78" spans="1:41" x14ac:dyDescent="0.25">
      <c r="A78" s="6" t="s">
        <v>181</v>
      </c>
      <c r="B78" s="9">
        <v>7</v>
      </c>
      <c r="C78" s="9">
        <f>INDEX(Refs[Include],MATCH(Params[[#This Row],[Reference]],Refs[ID],0))</f>
        <v>0</v>
      </c>
      <c r="D78" s="9" t="b">
        <f>Params[[#This Row],[N]]=1</f>
        <v>0</v>
      </c>
      <c r="E78" s="3" t="s">
        <v>184</v>
      </c>
      <c r="F78" s="4" t="b">
        <f>AND(Params[[#This Row],[t1,mean]]&gt;Params[[#This Row],[t2,mean]],Params[[#This Row],[k1,mean]]&lt;Params[[#This Row],[k2,mean]])</f>
        <v>0</v>
      </c>
      <c r="G78" s="4" t="b">
        <f>AND(SUM(Params[[#This Row],[k3,mean]:[t3,se]])=0,SUM(Params[[#This Row],[k1,mean]:[k1,se]])&lt;&gt;0,SUM(Params[[#This Row],[k2,mean]:[k2,se]])&lt;&gt;0)</f>
        <v>0</v>
      </c>
      <c r="H78" s="16" t="str">
        <f>IFERROR((Params[[#This Row],[t1,mean]]*Params[[#This Row],[t2,mean]])/(Params[[#This Row],[t1,mean]]-Params[[#This Row],[t2,mean]]) * LN(Params[[#This Row],[k2,mean]]/Params[[#This Row],[k1,mean]]),"-")</f>
        <v>-</v>
      </c>
      <c r="I78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78" s="16" t="str">
        <f>IF(IFERROR(Params[[#This Row],[k2,mean]]/Params[[#This Row],[k1,mean]],"-")=0,"-",IFERROR(Params[[#This Row],[k2,mean]]/Params[[#This Row],[k1,mean]],"-"))</f>
        <v>-</v>
      </c>
      <c r="K78" s="16" t="str">
        <f>IFERROR(Params[[#This Row],[k1,mean]]/Params[[#This Row],[k2,mean]],"-")</f>
        <v>-</v>
      </c>
      <c r="L78" s="16">
        <f>IFERROR(Params[[#This Row],[t1,mean]]/Params[[#This Row],[t2,mean]],"-")</f>
        <v>3.4330708661417324</v>
      </c>
      <c r="P78" s="29">
        <v>43.6</v>
      </c>
      <c r="Q78">
        <v>12.1</v>
      </c>
      <c r="S78" s="30">
        <v>12.7</v>
      </c>
      <c r="T78">
        <v>7.2</v>
      </c>
      <c r="V78" s="31">
        <v>3.4200000000000001E-2</v>
      </c>
      <c r="W78">
        <v>9.5999999999999992E-3</v>
      </c>
      <c r="AB78">
        <v>3.3999999999999998E-3</v>
      </c>
      <c r="AC78">
        <v>3.3E-3</v>
      </c>
      <c r="AE78">
        <v>4.0999999999999996</v>
      </c>
      <c r="AF78">
        <v>1.6</v>
      </c>
    </row>
    <row r="79" spans="1:41" x14ac:dyDescent="0.25">
      <c r="A79" t="s">
        <v>190</v>
      </c>
      <c r="B79" s="9">
        <v>8</v>
      </c>
      <c r="C79" s="9">
        <f>INDEX(Refs[Include],MATCH(Params[[#This Row],[Reference]],Refs[ID],0))</f>
        <v>0</v>
      </c>
      <c r="D79" s="9" t="b">
        <f>Params[[#This Row],[N]]=1</f>
        <v>0</v>
      </c>
      <c r="E79" s="3" t="s">
        <v>191</v>
      </c>
      <c r="F79" s="4" t="b">
        <f>AND(Params[[#This Row],[t1,mean]]&gt;Params[[#This Row],[t2,mean]],Params[[#This Row],[k1,mean]]&lt;Params[[#This Row],[k2,mean]])</f>
        <v>1</v>
      </c>
      <c r="G79" s="4" t="b">
        <f>AND(SUM(Params[[#This Row],[k3,mean]:[t3,se]])=0,SUM(Params[[#This Row],[k1,mean]:[k1,se]])&lt;&gt;0,SUM(Params[[#This Row],[k2,mean]:[k2,se]])&lt;&gt;0)</f>
        <v>0</v>
      </c>
      <c r="H79" s="16">
        <f>IFERROR((Params[[#This Row],[t1,mean]]*Params[[#This Row],[t2,mean]])/(Params[[#This Row],[t1,mean]]-Params[[#This Row],[t2,mean]]) * LN(Params[[#This Row],[k2,mean]]/Params[[#This Row],[k1,mean]]),"-")</f>
        <v>9.5080953627199413E-2</v>
      </c>
      <c r="I79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21.05338123527379</v>
      </c>
      <c r="J79" s="16">
        <f>IF(IFERROR(Params[[#This Row],[k2,mean]]/Params[[#This Row],[k1,mean]],"-")=0,"-",IFERROR(Params[[#This Row],[k2,mean]]/Params[[#This Row],[k1,mean]],"-"))</f>
        <v>1.0063492063492063</v>
      </c>
      <c r="K79" s="16">
        <f>IFERROR(Params[[#This Row],[k1,mean]]/Params[[#This Row],[k2,mean]],"-")</f>
        <v>0.99369085173501581</v>
      </c>
      <c r="L79" s="16">
        <f>IFERROR(Params[[#This Row],[t1,mean]]/Params[[#This Row],[t2,mean]],"-")</f>
        <v>4.0353982300884956</v>
      </c>
      <c r="P79" s="29">
        <v>45.6</v>
      </c>
      <c r="Q79">
        <v>12.7</v>
      </c>
      <c r="S79" s="30">
        <v>11.3</v>
      </c>
      <c r="T79">
        <v>7.9</v>
      </c>
      <c r="V79" s="31">
        <v>3.15E-2</v>
      </c>
      <c r="W79">
        <v>1.6999999999999999E-3</v>
      </c>
      <c r="Y79" s="32">
        <v>3.1699999999999999E-2</v>
      </c>
      <c r="AB79">
        <v>4.0000000000000001E-3</v>
      </c>
      <c r="AC79">
        <v>3.5000000000000001E-3</v>
      </c>
      <c r="AE79">
        <v>3.8</v>
      </c>
      <c r="AF79">
        <v>1.8</v>
      </c>
      <c r="AK79">
        <v>12.06</v>
      </c>
      <c r="AL79">
        <v>6</v>
      </c>
      <c r="AM79">
        <v>2.93</v>
      </c>
      <c r="AN79">
        <f>2*365</f>
        <v>730</v>
      </c>
      <c r="AO79">
        <v>32</v>
      </c>
    </row>
    <row r="80" spans="1:41" x14ac:dyDescent="0.25">
      <c r="A80" s="6" t="s">
        <v>161</v>
      </c>
      <c r="B80" s="9">
        <v>8</v>
      </c>
      <c r="C80" s="9">
        <f>INDEX(Refs[Include],MATCH(Params[[#This Row],[Reference]],Refs[ID],0))</f>
        <v>0</v>
      </c>
      <c r="D80" s="9" t="b">
        <f>Params[[#This Row],[N]]=1</f>
        <v>0</v>
      </c>
      <c r="E80" s="3" t="s">
        <v>163</v>
      </c>
      <c r="F80" s="4" t="b">
        <f>AND(Params[[#This Row],[t1,mean]]&gt;Params[[#This Row],[t2,mean]],Params[[#This Row],[k1,mean]]&lt;Params[[#This Row],[k2,mean]])</f>
        <v>1</v>
      </c>
      <c r="G80" s="4" t="b">
        <f>AND(SUM(Params[[#This Row],[k3,mean]:[t3,se]])=0,SUM(Params[[#This Row],[k1,mean]:[k1,se]])&lt;&gt;0,SUM(Params[[#This Row],[k2,mean]:[k2,se]])&lt;&gt;0)</f>
        <v>1</v>
      </c>
      <c r="H80" s="16">
        <f>IFERROR((Params[[#This Row],[t1,mean]]*Params[[#This Row],[t2,mean]])/(Params[[#This Row],[t1,mean]]-Params[[#This Row],[t2,mean]]) * LN(Params[[#This Row],[k2,mean]]/Params[[#This Row],[k1,mean]]),"-")</f>
        <v>3.7179946102259382</v>
      </c>
      <c r="I80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18.331787962029992</v>
      </c>
      <c r="J80" s="16">
        <f>IF(IFERROR(Params[[#This Row],[k2,mean]]/Params[[#This Row],[k1,mean]],"-")=0,"-",IFERROR(Params[[#This Row],[k2,mean]]/Params[[#This Row],[k1,mean]],"-"))</f>
        <v>1.1642764015645373</v>
      </c>
      <c r="K80" s="16">
        <f>IFERROR(Params[[#This Row],[k1,mean]]/Params[[#This Row],[k2,mean]],"-")</f>
        <v>0.85890257558790584</v>
      </c>
      <c r="L80" s="16">
        <f>IFERROR(Params[[#This Row],[t1,mean]]/Params[[#This Row],[t2,mean]],"-")</f>
        <v>1.8181818181818181</v>
      </c>
      <c r="P80" s="29">
        <v>20</v>
      </c>
      <c r="Q80">
        <v>14</v>
      </c>
      <c r="S80" s="30">
        <v>11</v>
      </c>
      <c r="T80">
        <v>7</v>
      </c>
      <c r="V80" s="31">
        <v>7.6699999999999994E-5</v>
      </c>
      <c r="W80">
        <v>7.6699999999999994E-5</v>
      </c>
      <c r="Y80" s="32">
        <v>8.9300000000000002E-5</v>
      </c>
      <c r="Z80">
        <v>7.1600000000000006E-5</v>
      </c>
      <c r="AK80">
        <v>1247</v>
      </c>
      <c r="AL80">
        <v>768</v>
      </c>
      <c r="AM80">
        <v>324.7</v>
      </c>
      <c r="AN80">
        <v>56</v>
      </c>
      <c r="AO80">
        <v>56</v>
      </c>
    </row>
    <row r="81" spans="1:41" x14ac:dyDescent="0.25">
      <c r="A81" s="6" t="s">
        <v>161</v>
      </c>
      <c r="B81" s="9"/>
      <c r="C81" s="9">
        <f>INDEX(Refs[Include],MATCH(Params[[#This Row],[Reference]],Refs[ID],0))</f>
        <v>0</v>
      </c>
      <c r="D81" s="9"/>
      <c r="E81" s="3" t="s">
        <v>164</v>
      </c>
      <c r="F81" s="4" t="b">
        <f>AND(Params[[#This Row],[t1,mean]]&gt;Params[[#This Row],[t2,mean]],Params[[#This Row],[k1,mean]]&lt;Params[[#This Row],[k2,mean]])</f>
        <v>0</v>
      </c>
      <c r="G81" s="4" t="b">
        <f>AND(SUM(Params[[#This Row],[k3,mean]:[t3,se]])=0,SUM(Params[[#This Row],[k1,mean]:[k1,se]])&lt;&gt;0,SUM(Params[[#This Row],[k2,mean]:[k2,se]])&lt;&gt;0)</f>
        <v>1</v>
      </c>
      <c r="H81" s="16">
        <f>IFERROR((Params[[#This Row],[t1,mean]]*Params[[#This Row],[t2,mean]])/(Params[[#This Row],[t1,mean]]-Params[[#This Row],[t2,mean]]) * LN(Params[[#This Row],[k2,mean]]/Params[[#This Row],[k1,mean]]),"-")</f>
        <v>2.6955592434351541</v>
      </c>
      <c r="I81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36.150765154251694</v>
      </c>
      <c r="J81" s="16">
        <f>IF(IFERROR(Params[[#This Row],[k2,mean]]/Params[[#This Row],[k1,mean]],"-")=0,"-",IFERROR(Params[[#This Row],[k2,mean]]/Params[[#This Row],[k1,mean]],"-"))</f>
        <v>0.9928057553956835</v>
      </c>
      <c r="K81" s="16">
        <f>IFERROR(Params[[#This Row],[k1,mean]]/Params[[#This Row],[k2,mean]],"-")</f>
        <v>1.0072463768115942</v>
      </c>
      <c r="L81" s="16">
        <f>IFERROR(Params[[#This Row],[t1,mean]]/Params[[#This Row],[t2,mean]],"-")</f>
        <v>0.91428571428571426</v>
      </c>
      <c r="P81" s="29">
        <v>32</v>
      </c>
      <c r="Q81">
        <v>38</v>
      </c>
      <c r="S81" s="30">
        <v>35</v>
      </c>
      <c r="T81">
        <v>43</v>
      </c>
      <c r="V81" s="31">
        <v>2.7799999999999998E-4</v>
      </c>
      <c r="W81">
        <v>2.7099999999999997E-4</v>
      </c>
      <c r="Y81" s="32">
        <v>2.7599999999999999E-4</v>
      </c>
      <c r="Z81">
        <v>2.63E-4</v>
      </c>
    </row>
    <row r="82" spans="1:41" x14ac:dyDescent="0.25">
      <c r="A82" t="s">
        <v>188</v>
      </c>
      <c r="B82" s="9">
        <v>10</v>
      </c>
      <c r="C82" s="9">
        <f>INDEX(Refs[Include],MATCH(Params[[#This Row],[Reference]],Refs[ID],0))</f>
        <v>0</v>
      </c>
      <c r="D82" s="9" t="b">
        <f>Params[[#This Row],[N]]=1</f>
        <v>0</v>
      </c>
      <c r="E82" s="3" t="s">
        <v>189</v>
      </c>
      <c r="F82" s="4" t="b">
        <f>AND(Params[[#This Row],[t1,mean]]&gt;Params[[#This Row],[t2,mean]],Params[[#This Row],[k1,mean]]&lt;Params[[#This Row],[k2,mean]])</f>
        <v>1</v>
      </c>
      <c r="G82" s="4" t="b">
        <f>AND(SUM(Params[[#This Row],[k3,mean]:[t3,se]])=0,SUM(Params[[#This Row],[k1,mean]:[k1,se]])&lt;&gt;0,SUM(Params[[#This Row],[k2,mean]:[k2,se]])&lt;&gt;0)</f>
        <v>1</v>
      </c>
      <c r="H82" s="16">
        <f>IFERROR((Params[[#This Row],[t1,mean]]*Params[[#This Row],[t2,mean]])/(Params[[#This Row],[t1,mean]]-Params[[#This Row],[t2,mean]]) * LN(Params[[#This Row],[k2,mean]]/Params[[#This Row],[k1,mean]]),"-")</f>
        <v>14.626036549046564</v>
      </c>
      <c r="I82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27.068906040272939</v>
      </c>
      <c r="J82" s="16">
        <f>IF(IFERROR(Params[[#This Row],[k2,mean]]/Params[[#This Row],[k1,mean]],"-")=0,"-",IFERROR(Params[[#This Row],[k2,mean]]/Params[[#This Row],[k1,mean]],"-"))</f>
        <v>15.714285714285717</v>
      </c>
      <c r="K82" s="16">
        <f>IFERROR(Params[[#This Row],[k1,mean]]/Params[[#This Row],[k2,mean]],"-")</f>
        <v>6.363636363636363E-2</v>
      </c>
      <c r="L82" s="16">
        <f>IFERROR(Params[[#This Row],[t1,mean]]/Params[[#This Row],[t2,mean]],"-")</f>
        <v>10.416666666666668</v>
      </c>
      <c r="M82" s="28">
        <v>1.2649999999999999</v>
      </c>
      <c r="P82" s="29">
        <v>50</v>
      </c>
      <c r="Q82">
        <v>14</v>
      </c>
      <c r="S82" s="30">
        <v>4.8</v>
      </c>
      <c r="T82">
        <v>2.9</v>
      </c>
      <c r="V82" s="31">
        <v>6.9999999999999994E-5</v>
      </c>
      <c r="W82">
        <v>6.0000000000000002E-5</v>
      </c>
      <c r="Y82" s="32">
        <v>1.1000000000000001E-3</v>
      </c>
      <c r="Z82">
        <v>1.4E-3</v>
      </c>
      <c r="AN82">
        <f>30*7</f>
        <v>210</v>
      </c>
      <c r="AO82">
        <v>30</v>
      </c>
    </row>
    <row r="83" spans="1:41" x14ac:dyDescent="0.25">
      <c r="A83" t="s">
        <v>188</v>
      </c>
      <c r="B83" s="9"/>
      <c r="C83" s="9">
        <f>INDEX(Refs[Include],MATCH(Params[[#This Row],[Reference]],Refs[ID],0))</f>
        <v>0</v>
      </c>
      <c r="D83" s="9"/>
      <c r="E83" s="3" t="s">
        <v>162</v>
      </c>
      <c r="F83" s="4" t="b">
        <f>AND(Params[[#This Row],[t1,mean]]&gt;Params[[#This Row],[t2,mean]],Params[[#This Row],[k1,mean]]&lt;Params[[#This Row],[k2,mean]])</f>
        <v>1</v>
      </c>
      <c r="G83" s="4" t="b">
        <f>AND(SUM(Params[[#This Row],[k3,mean]:[t3,se]])=0,SUM(Params[[#This Row],[k1,mean]:[k1,se]])&lt;&gt;0,SUM(Params[[#This Row],[k2,mean]:[k2,se]])&lt;&gt;0)</f>
        <v>1</v>
      </c>
      <c r="H83" s="16">
        <f>IFERROR((Params[[#This Row],[t1,mean]]*Params[[#This Row],[t2,mean]])/(Params[[#This Row],[t1,mean]]-Params[[#This Row],[t2,mean]]) * LN(Params[[#This Row],[k2,mean]]/Params[[#This Row],[k1,mean]]),"-")</f>
        <v>15.152884608562854</v>
      </c>
      <c r="I83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25.898281709201736</v>
      </c>
      <c r="J83" s="16">
        <f>IF(IFERROR(Params[[#This Row],[k2,mean]]/Params[[#This Row],[k1,mean]],"-")=0,"-",IFERROR(Params[[#This Row],[k2,mean]]/Params[[#This Row],[k1,mean]],"-"))</f>
        <v>25.714285714285712</v>
      </c>
      <c r="K83" s="16">
        <f>IFERROR(Params[[#This Row],[k1,mean]]/Params[[#This Row],[k2,mean]],"-")</f>
        <v>3.888888888888889E-2</v>
      </c>
      <c r="L83" s="16">
        <f>IFERROR(Params[[#This Row],[t1,mean]]/Params[[#This Row],[t2,mean]],"-")</f>
        <v>10</v>
      </c>
      <c r="M83" s="28">
        <v>8</v>
      </c>
      <c r="P83" s="29">
        <v>42</v>
      </c>
      <c r="Q83">
        <v>15</v>
      </c>
      <c r="S83" s="30">
        <v>4.2</v>
      </c>
      <c r="T83">
        <v>2.2999999999999998</v>
      </c>
      <c r="V83" s="31">
        <v>7.0000000000000001E-3</v>
      </c>
      <c r="W83">
        <v>6.0000000000000001E-3</v>
      </c>
      <c r="Y83" s="32">
        <v>0.18</v>
      </c>
      <c r="Z83">
        <v>0.16</v>
      </c>
      <c r="AN83">
        <f>30*7</f>
        <v>210</v>
      </c>
      <c r="AO83">
        <v>30</v>
      </c>
    </row>
    <row r="84" spans="1:41" x14ac:dyDescent="0.25">
      <c r="A84" s="6" t="s">
        <v>171</v>
      </c>
      <c r="B84" s="9">
        <v>17</v>
      </c>
      <c r="C84" s="9">
        <f>INDEX(Refs[Include],MATCH(Params[[#This Row],[Reference]],Refs[ID],0))</f>
        <v>0</v>
      </c>
      <c r="D84" s="9" t="b">
        <f>Params[[#This Row],[N]]=1</f>
        <v>0</v>
      </c>
      <c r="E84" s="3" t="s">
        <v>172</v>
      </c>
      <c r="F84" s="4" t="b">
        <f>AND(Params[[#This Row],[t1,mean]]&gt;Params[[#This Row],[t2,mean]],Params[[#This Row],[k1,mean]]&lt;Params[[#This Row],[k2,mean]])</f>
        <v>1</v>
      </c>
      <c r="G84" s="4" t="b">
        <f>AND(SUM(Params[[#This Row],[k3,mean]:[t3,se]])=0,SUM(Params[[#This Row],[k1,mean]:[k1,se]])&lt;&gt;0,SUM(Params[[#This Row],[k2,mean]:[k2,se]])&lt;&gt;0)</f>
        <v>1</v>
      </c>
      <c r="H84" s="16">
        <v>12.2</v>
      </c>
      <c r="I84" s="16">
        <v>31.5</v>
      </c>
      <c r="J84" s="16">
        <v>3.04</v>
      </c>
      <c r="K84" s="16">
        <f>1/3.04</f>
        <v>0.32894736842105265</v>
      </c>
      <c r="L84" s="16">
        <f>IFERROR(Params[[#This Row],[t1,mean]]/Params[[#This Row],[t2,mean]],"-")</f>
        <v>3.3387096774193545</v>
      </c>
      <c r="M84" s="28">
        <v>93</v>
      </c>
      <c r="N84">
        <v>3.2</v>
      </c>
      <c r="P84" s="29">
        <v>41.4</v>
      </c>
      <c r="Q84">
        <v>12.5</v>
      </c>
      <c r="S84" s="30">
        <v>12.4</v>
      </c>
      <c r="T84">
        <v>6.9</v>
      </c>
      <c r="V84" s="31">
        <v>6.2E-2</v>
      </c>
      <c r="W84">
        <v>4.1000000000000002E-2</v>
      </c>
      <c r="Y84" s="32">
        <v>0.128</v>
      </c>
      <c r="Z84">
        <v>5.5E-2</v>
      </c>
    </row>
    <row r="85" spans="1:41" x14ac:dyDescent="0.25">
      <c r="A85" t="s">
        <v>76</v>
      </c>
      <c r="B85" s="4">
        <v>10</v>
      </c>
      <c r="C85" s="4">
        <f>INDEX(Refs[Include],MATCH(Params[[#This Row],[Reference]],Refs[ID],0))</f>
        <v>1</v>
      </c>
      <c r="D85" s="4" t="b">
        <f>Params[[#This Row],[N]]=1</f>
        <v>0</v>
      </c>
      <c r="E85" s="3" t="s">
        <v>78</v>
      </c>
      <c r="F85" s="4" t="b">
        <f>AND(Params[[#This Row],[t1,mean]]&gt;Params[[#This Row],[t2,mean]],Params[[#This Row],[k1,mean]]&lt;Params[[#This Row],[k2,mean]])</f>
        <v>1</v>
      </c>
      <c r="G85" s="4" t="b">
        <f>AND(SUM(Params[[#This Row],[k3,mean]:[t3,se]])=0,SUM(Params[[#This Row],[k1,mean]:[k1,se]])&lt;&gt;0,SUM(Params[[#This Row],[k2,mean]:[k2,se]])&lt;&gt;0)</f>
        <v>1</v>
      </c>
      <c r="H85" s="16">
        <f>IFERROR((Params[[#This Row],[t1,mean]]*Params[[#This Row],[t2,mean]])/(Params[[#This Row],[t1,mean]]-Params[[#This Row],[t2,mean]]) * LN(Params[[#This Row],[k2,mean]]/Params[[#This Row],[k1,mean]]),"-")</f>
        <v>9.8262389429070964</v>
      </c>
      <c r="I85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21.295508552059687</v>
      </c>
      <c r="J85" s="16">
        <f>IF(IFERROR(Params[[#This Row],[k2,mean]]/Params[[#This Row],[k1,mean]],"-")=0,"-",IFERROR(Params[[#This Row],[k2,mean]]/Params[[#This Row],[k1,mean]],"-"))</f>
        <v>8.0416666666666679</v>
      </c>
      <c r="K85" s="16">
        <f>IFERROR(Params[[#This Row],[k1,mean]]/Params[[#This Row],[k2,mean]],"-")</f>
        <v>0.1243523316062176</v>
      </c>
      <c r="L85" s="16">
        <f>IFERROR(Params[[#This Row],[t1,mean]]/Params[[#This Row],[t2,mean]],"-")</f>
        <v>11.395348837209303</v>
      </c>
      <c r="P85" s="29">
        <v>49</v>
      </c>
      <c r="Q85">
        <v>14.49</v>
      </c>
      <c r="S85" s="30">
        <v>4.3</v>
      </c>
      <c r="T85">
        <v>6.16</v>
      </c>
      <c r="V85" s="31">
        <v>4.7999999999999996E-3</v>
      </c>
      <c r="W85">
        <v>4.8999999999999998E-3</v>
      </c>
      <c r="Y85" s="32">
        <v>3.8600000000000002E-2</v>
      </c>
      <c r="Z85">
        <v>3.8899999999999997E-2</v>
      </c>
    </row>
    <row r="86" spans="1:41" x14ac:dyDescent="0.25">
      <c r="A86" t="s">
        <v>76</v>
      </c>
      <c r="C86" s="4">
        <f>INDEX(Refs[Include],MATCH(Params[[#This Row],[Reference]],Refs[ID],0))</f>
        <v>1</v>
      </c>
      <c r="E86" s="3" t="s">
        <v>105</v>
      </c>
      <c r="F86" s="4" t="b">
        <f>AND(Params[[#This Row],[t1,mean]]&gt;Params[[#This Row],[t2,mean]],Params[[#This Row],[k1,mean]]&lt;Params[[#This Row],[k2,mean]])</f>
        <v>1</v>
      </c>
      <c r="G86" s="4" t="b">
        <f>AND(SUM(Params[[#This Row],[k3,mean]:[t3,se]])=0,SUM(Params[[#This Row],[k1,mean]:[k1,se]])&lt;&gt;0,SUM(Params[[#This Row],[k2,mean]:[k2,se]])&lt;&gt;0)</f>
        <v>1</v>
      </c>
      <c r="H86" s="16">
        <f>IFERROR((Params[[#This Row],[t1,mean]]*Params[[#This Row],[t2,mean]])/(Params[[#This Row],[t1,mean]]-Params[[#This Row],[t2,mean]]) * LN(Params[[#This Row],[k2,mean]]/Params[[#This Row],[k1,mean]]),"-")</f>
        <v>47.376944853152281</v>
      </c>
      <c r="I86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68.023451406047442</v>
      </c>
      <c r="J86" s="16">
        <f>IF(IFERROR(Params[[#This Row],[k2,mean]]/Params[[#This Row],[k1,mean]],"-")=0,"-",IFERROR(Params[[#This Row],[k2,mean]]/Params[[#This Row],[k1,mean]],"-"))</f>
        <v>39.281107606028741</v>
      </c>
      <c r="K86" s="16">
        <f>IFERROR(Params[[#This Row],[k1,mean]]/Params[[#This Row],[k2,mean]],"-")</f>
        <v>2.5457530628452116E-2</v>
      </c>
      <c r="L86" s="16">
        <f>IFERROR(Params[[#This Row],[t1,mean]]/Params[[#This Row],[t2,mean]],"-")</f>
        <v>4.9514563106796112</v>
      </c>
      <c r="P86" s="29">
        <v>51</v>
      </c>
      <c r="Q86">
        <v>14.49</v>
      </c>
      <c r="S86" s="30">
        <v>10.3</v>
      </c>
      <c r="T86">
        <v>8.99</v>
      </c>
      <c r="V86" s="31">
        <v>0.2853</v>
      </c>
      <c r="W86">
        <v>0.1757</v>
      </c>
      <c r="Y86" s="32">
        <v>11.206899999999999</v>
      </c>
      <c r="Z86">
        <v>15.7967</v>
      </c>
    </row>
    <row r="87" spans="1:41" x14ac:dyDescent="0.25">
      <c r="A87" t="s">
        <v>103</v>
      </c>
      <c r="B87" s="4">
        <v>15</v>
      </c>
      <c r="C87" s="4">
        <f>INDEX(Refs[Include],MATCH(Params[[#This Row],[Reference]],Refs[ID],0))</f>
        <v>1</v>
      </c>
      <c r="D87" s="4" t="b">
        <f>Params[[#This Row],[N]]=1</f>
        <v>0</v>
      </c>
      <c r="E87" s="3" t="s">
        <v>77</v>
      </c>
      <c r="F87" s="4" t="b">
        <f>AND(Params[[#This Row],[t1,mean]]&gt;Params[[#This Row],[t2,mean]],Params[[#This Row],[k1,mean]]&lt;Params[[#This Row],[k2,mean]])</f>
        <v>0</v>
      </c>
      <c r="G87" s="4" t="b">
        <f>AND(SUM(Params[[#This Row],[k3,mean]:[t3,se]])=0,SUM(Params[[#This Row],[k1,mean]:[k1,se]])&lt;&gt;0,SUM(Params[[#This Row],[k2,mean]:[k2,se]])&lt;&gt;0)</f>
        <v>0</v>
      </c>
      <c r="H87" s="16" t="str">
        <f>IFERROR((Params[[#This Row],[t1,mean]]*Params[[#This Row],[t2,mean]])/(Params[[#This Row],[t1,mean]]-Params[[#This Row],[t2,mean]]) * LN(Params[[#This Row],[k2,mean]]/Params[[#This Row],[k1,mean]]),"-")</f>
        <v>-</v>
      </c>
      <c r="I87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87" s="16" t="str">
        <f>IF(IFERROR(Params[[#This Row],[k2,mean]]/Params[[#This Row],[k1,mean]],"-")=0,"-",IFERROR(Params[[#This Row],[k2,mean]]/Params[[#This Row],[k1,mean]],"-"))</f>
        <v>-</v>
      </c>
      <c r="K87" s="16" t="str">
        <f>IFERROR(Params[[#This Row],[k1,mean]]/Params[[#This Row],[k2,mean]],"-")</f>
        <v>-</v>
      </c>
      <c r="L87" s="16">
        <f>IFERROR(Params[[#This Row],[t1,mean]]/Params[[#This Row],[t2,mean]],"-")</f>
        <v>7.6730769230769225</v>
      </c>
      <c r="P87" s="29">
        <v>39.9</v>
      </c>
      <c r="Q87">
        <v>6.8</v>
      </c>
      <c r="S87" s="30">
        <v>5.2</v>
      </c>
      <c r="T87">
        <v>1.1000000000000001</v>
      </c>
      <c r="V87" s="31">
        <v>1.2699999999999999E-6</v>
      </c>
      <c r="W87" s="2">
        <v>3.3599999999999999E-7</v>
      </c>
      <c r="AB87" s="2">
        <v>2.8899999999999998E-10</v>
      </c>
      <c r="AC87" s="2">
        <v>1.2400000000000001E-10</v>
      </c>
      <c r="AE87">
        <v>1.9</v>
      </c>
      <c r="AF87">
        <v>1.2</v>
      </c>
    </row>
    <row r="88" spans="1:41" x14ac:dyDescent="0.25">
      <c r="A88" t="s">
        <v>34</v>
      </c>
      <c r="C88" s="4">
        <f>INDEX(Refs[Include],MATCH(Params[[#This Row],[Reference]],Refs[ID],0))</f>
        <v>1</v>
      </c>
      <c r="D88" s="4" t="b">
        <f>Params[[#This Row],[N]]=1</f>
        <v>0</v>
      </c>
      <c r="E88" s="3" t="s">
        <v>34</v>
      </c>
      <c r="F88" s="4" t="b">
        <f>AND(Params[[#This Row],[t1,mean]]&gt;Params[[#This Row],[t2,mean]],Params[[#This Row],[k1,mean]]&lt;Params[[#This Row],[k2,mean]])</f>
        <v>1</v>
      </c>
      <c r="G88" s="4" t="b">
        <f>AND(SUM(Params[[#This Row],[k3,mean]:[t3,se]])=0,SUM(Params[[#This Row],[k1,mean]:[k1,se]])&lt;&gt;0,SUM(Params[[#This Row],[k2,mean]:[k2,se]])&lt;&gt;0)</f>
        <v>1</v>
      </c>
      <c r="H88" s="16">
        <f>IFERROR((Params[[#This Row],[t1,mean]]*Params[[#This Row],[t2,mean]])/(Params[[#This Row],[t1,mean]]-Params[[#This Row],[t2,mean]]) * LN(Params[[#This Row],[k2,mean]]/Params[[#This Row],[k1,mean]]),"-")</f>
        <v>3.5267199894127135</v>
      </c>
      <c r="I88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14.277276804781044</v>
      </c>
      <c r="J88" s="16">
        <f>IF(IFERROR(Params[[#This Row],[k2,mean]]/Params[[#This Row],[k1,mean]],"-")=0,"-",IFERROR(Params[[#This Row],[k2,mean]]/Params[[#This Row],[k1,mean]],"-"))</f>
        <v>1.7999999999999998</v>
      </c>
      <c r="K88" s="16">
        <f>IFERROR(Params[[#This Row],[k1,mean]]/Params[[#This Row],[k2,mean]],"-")</f>
        <v>0.55555555555555558</v>
      </c>
      <c r="L88" s="16">
        <f>IFERROR(Params[[#This Row],[t1,mean]]/Params[[#This Row],[t2,mean]],"-")</f>
        <v>6</v>
      </c>
      <c r="M88" s="28">
        <v>930</v>
      </c>
      <c r="P88" s="29">
        <v>30</v>
      </c>
      <c r="S88" s="30">
        <v>5</v>
      </c>
      <c r="V88" s="31">
        <v>0.05</v>
      </c>
      <c r="Y88" s="32">
        <v>0.09</v>
      </c>
    </row>
    <row r="89" spans="1:41" x14ac:dyDescent="0.25">
      <c r="A89" t="s">
        <v>278</v>
      </c>
      <c r="B89" s="9">
        <v>1</v>
      </c>
      <c r="C89" s="9">
        <f>INDEX(Refs[Include],MATCH(Params[[#This Row],[Reference]],Refs[ID],0))</f>
        <v>1</v>
      </c>
      <c r="D89" s="9" t="b">
        <f>Params[[#This Row],[N]]=1</f>
        <v>1</v>
      </c>
      <c r="E89" s="3">
        <v>1</v>
      </c>
      <c r="F89" s="18" t="b">
        <f>AND(Params[[#This Row],[t1,mean]]&gt;Params[[#This Row],[t2,mean]],Params[[#This Row],[k1,mean]]&lt;Params[[#This Row],[k2,mean]])</f>
        <v>1</v>
      </c>
      <c r="G89" s="18" t="b">
        <f>AND(SUM(Params[[#This Row],[k3,mean]:[t3,se]])=0,SUM(Params[[#This Row],[k1,mean]:[k1,se]])&lt;&gt;0,SUM(Params[[#This Row],[k2,mean]:[k2,se]])&lt;&gt;0)</f>
        <v>1</v>
      </c>
      <c r="H89" s="16">
        <f>IFERROR((Params[[#This Row],[t1,mean]]*Params[[#This Row],[t2,mean]])/(Params[[#This Row],[t1,mean]]-Params[[#This Row],[t2,mean]]) * LN(Params[[#This Row],[k2,mean]]/Params[[#This Row],[k1,mean]]),"-")</f>
        <v>1.6137629641533819</v>
      </c>
      <c r="I89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9.321043239893994</v>
      </c>
      <c r="J89" s="16">
        <f>IF(IFERROR(Params[[#This Row],[k2,mean]]/Params[[#This Row],[k1,mean]],"-")=0,"-",IFERROR(Params[[#This Row],[k2,mean]]/Params[[#This Row],[k1,mean]],"-"))</f>
        <v>1.7</v>
      </c>
      <c r="K89" s="16">
        <f>IFERROR(Params[[#This Row],[k1,mean]]/Params[[#This Row],[k2,mean]],"-")</f>
        <v>0.58823529411764708</v>
      </c>
      <c r="L89" s="16">
        <f>IFERROR(Params[[#This Row],[t1,mean]]/Params[[#This Row],[t2,mean]],"-")</f>
        <v>12.607142857142858</v>
      </c>
      <c r="M89" s="28">
        <v>0</v>
      </c>
      <c r="P89" s="29">
        <v>35.299999999999997</v>
      </c>
      <c r="R89">
        <v>2.4</v>
      </c>
      <c r="S89" s="30">
        <v>2.8</v>
      </c>
      <c r="T89">
        <v>0.9</v>
      </c>
      <c r="V89" s="42">
        <v>1</v>
      </c>
      <c r="Y89" s="32">
        <v>1.7</v>
      </c>
      <c r="Z89">
        <v>4.5</v>
      </c>
      <c r="AN89">
        <v>160</v>
      </c>
      <c r="AO89">
        <v>112</v>
      </c>
    </row>
    <row r="90" spans="1:41" x14ac:dyDescent="0.25">
      <c r="A90" t="s">
        <v>278</v>
      </c>
      <c r="B90" s="9">
        <v>1</v>
      </c>
      <c r="C90" s="9">
        <f>INDEX(Refs[Include],MATCH(Params[[#This Row],[Reference]],Refs[ID],0))</f>
        <v>1</v>
      </c>
      <c r="D90" s="9" t="b">
        <f>Params[[#This Row],[N]]=1</f>
        <v>1</v>
      </c>
      <c r="E90" s="3">
        <v>2</v>
      </c>
      <c r="F90" s="18" t="b">
        <f>AND(Params[[#This Row],[t1,mean]]&gt;Params[[#This Row],[t2,mean]],Params[[#This Row],[k1,mean]]&lt;Params[[#This Row],[k2,mean]])</f>
        <v>1</v>
      </c>
      <c r="G90" s="18" t="b">
        <f>AND(SUM(Params[[#This Row],[k3,mean]:[t3,se]])=0,SUM(Params[[#This Row],[k1,mean]:[k1,se]])&lt;&gt;0,SUM(Params[[#This Row],[k2,mean]:[k2,se]])&lt;&gt;0)</f>
        <v>1</v>
      </c>
      <c r="H90" s="16">
        <f>IFERROR((Params[[#This Row],[t1,mean]]*Params[[#This Row],[t2,mean]])/(Params[[#This Row],[t1,mean]]-Params[[#This Row],[t2,mean]]) * LN(Params[[#This Row],[k2,mean]]/Params[[#This Row],[k1,mean]]),"-")</f>
        <v>6.5437186226736666</v>
      </c>
      <c r="I90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16.12323260834798</v>
      </c>
      <c r="J90" s="16">
        <f>IF(IFERROR(Params[[#This Row],[k2,mean]]/Params[[#This Row],[k1,mean]],"-")=0,"-",IFERROR(Params[[#This Row],[k2,mean]]/Params[[#This Row],[k1,mean]],"-"))</f>
        <v>4</v>
      </c>
      <c r="K90" s="16">
        <f>IFERROR(Params[[#This Row],[k1,mean]]/Params[[#This Row],[k2,mean]],"-")</f>
        <v>0.25</v>
      </c>
      <c r="L90" s="16">
        <f>IFERROR(Params[[#This Row],[t1,mean]]/Params[[#This Row],[t2,mean]],"-")</f>
        <v>7.6097560975609762</v>
      </c>
      <c r="M90" s="28">
        <v>0</v>
      </c>
      <c r="P90" s="29">
        <v>31.2</v>
      </c>
      <c r="R90">
        <v>7.1</v>
      </c>
      <c r="S90" s="30">
        <v>4.0999999999999996</v>
      </c>
      <c r="T90">
        <v>0.8</v>
      </c>
      <c r="V90" s="42">
        <v>1</v>
      </c>
      <c r="Y90" s="32">
        <v>4</v>
      </c>
      <c r="Z90">
        <v>51</v>
      </c>
      <c r="AN90">
        <v>249</v>
      </c>
      <c r="AO90">
        <v>88</v>
      </c>
    </row>
    <row r="91" spans="1:41" x14ac:dyDescent="0.25">
      <c r="A91" t="s">
        <v>278</v>
      </c>
      <c r="B91" s="9">
        <v>1</v>
      </c>
      <c r="C91" s="9">
        <f>INDEX(Refs[Include],MATCH(Params[[#This Row],[Reference]],Refs[ID],0))</f>
        <v>1</v>
      </c>
      <c r="D91" s="9" t="b">
        <f>Params[[#This Row],[N]]=1</f>
        <v>1</v>
      </c>
      <c r="E91" s="3">
        <v>3</v>
      </c>
      <c r="F91" s="18" t="b">
        <f>AND(Params[[#This Row],[t1,mean]]&gt;Params[[#This Row],[t2,mean]],Params[[#This Row],[k1,mean]]&lt;Params[[#This Row],[k2,mean]])</f>
        <v>1</v>
      </c>
      <c r="G91" s="18" t="b">
        <f>AND(SUM(Params[[#This Row],[k3,mean]:[t3,se]])=0,SUM(Params[[#This Row],[k1,mean]:[k1,se]])&lt;&gt;0,SUM(Params[[#This Row],[k2,mean]:[k2,se]])&lt;&gt;0)</f>
        <v>1</v>
      </c>
      <c r="H91" s="16">
        <f>IFERROR((Params[[#This Row],[t1,mean]]*Params[[#This Row],[t2,mean]])/(Params[[#This Row],[t1,mean]]-Params[[#This Row],[t2,mean]]) * LN(Params[[#This Row],[k2,mean]]/Params[[#This Row],[k1,mean]]),"-")</f>
        <v>1.6487103851026805</v>
      </c>
      <c r="I91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4.6223045849293003</v>
      </c>
      <c r="J91" s="16">
        <f>IF(IFERROR(Params[[#This Row],[k2,mean]]/Params[[#This Row],[k1,mean]],"-")=0,"-",IFERROR(Params[[#This Row],[k2,mean]]/Params[[#This Row],[k1,mean]],"-"))</f>
        <v>4.7</v>
      </c>
      <c r="K91" s="16">
        <f>IFERROR(Params[[#This Row],[k1,mean]]/Params[[#This Row],[k2,mean]],"-")</f>
        <v>0.21276595744680851</v>
      </c>
      <c r="L91" s="16">
        <f>IFERROR(Params[[#This Row],[t1,mean]]/Params[[#This Row],[t2,mean]],"-")</f>
        <v>16.3</v>
      </c>
      <c r="M91" s="28">
        <v>0</v>
      </c>
      <c r="P91" s="29">
        <v>16.3</v>
      </c>
      <c r="R91">
        <v>1.5</v>
      </c>
      <c r="S91" s="30">
        <v>1</v>
      </c>
      <c r="T91">
        <v>0.1</v>
      </c>
      <c r="V91" s="42">
        <v>1</v>
      </c>
      <c r="Y91" s="32">
        <v>4.7</v>
      </c>
      <c r="Z91">
        <v>4.3</v>
      </c>
      <c r="AN91">
        <v>287</v>
      </c>
      <c r="AO91">
        <v>108</v>
      </c>
    </row>
    <row r="92" spans="1:41" x14ac:dyDescent="0.25">
      <c r="A92" t="s">
        <v>278</v>
      </c>
      <c r="B92" s="9">
        <v>1</v>
      </c>
      <c r="C92" s="9">
        <f>INDEX(Refs[Include],MATCH(Params[[#This Row],[Reference]],Refs[ID],0))</f>
        <v>1</v>
      </c>
      <c r="D92" s="9" t="b">
        <f>Params[[#This Row],[N]]=1</f>
        <v>1</v>
      </c>
      <c r="E92" s="3">
        <v>4</v>
      </c>
      <c r="F92" s="18" t="b">
        <f>AND(Params[[#This Row],[t1,mean]]&gt;Params[[#This Row],[t2,mean]],Params[[#This Row],[k1,mean]]&lt;Params[[#This Row],[k2,mean]])</f>
        <v>1</v>
      </c>
      <c r="G92" s="18" t="b">
        <f>AND(SUM(Params[[#This Row],[k3,mean]:[t3,se]])=0,SUM(Params[[#This Row],[k1,mean]:[k1,se]])&lt;&gt;0,SUM(Params[[#This Row],[k2,mean]:[k2,se]])&lt;&gt;0)</f>
        <v>1</v>
      </c>
      <c r="H92" s="16">
        <f>IFERROR((Params[[#This Row],[t1,mean]]*Params[[#This Row],[t2,mean]])/(Params[[#This Row],[t1,mean]]-Params[[#This Row],[t2,mean]]) * LN(Params[[#This Row],[k2,mean]]/Params[[#This Row],[k1,mean]]),"-")</f>
        <v>1.4737307423215686</v>
      </c>
      <c r="I92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31.890958418123098</v>
      </c>
      <c r="J92" s="16">
        <f>IF(IFERROR(Params[[#This Row],[k2,mean]]/Params[[#This Row],[k1,mean]],"-")=0,"-",IFERROR(Params[[#This Row],[k2,mean]]/Params[[#This Row],[k1,mean]],"-"))</f>
        <v>1.1000000000000001</v>
      </c>
      <c r="K92" s="16">
        <f>IFERROR(Params[[#This Row],[k1,mean]]/Params[[#This Row],[k2,mean]],"-")</f>
        <v>0.90909090909090906</v>
      </c>
      <c r="L92" s="16">
        <f>IFERROR(Params[[#This Row],[t1,mean]]/Params[[#This Row],[t2,mean]],"-")</f>
        <v>7.1503759398496234</v>
      </c>
      <c r="M92" s="28">
        <v>0</v>
      </c>
      <c r="P92" s="29">
        <v>95.1</v>
      </c>
      <c r="R92">
        <v>13.3</v>
      </c>
      <c r="S92" s="30">
        <v>13.3</v>
      </c>
      <c r="T92">
        <v>0.9</v>
      </c>
      <c r="V92" s="42">
        <v>1</v>
      </c>
      <c r="Y92" s="32">
        <v>1.1000000000000001</v>
      </c>
      <c r="Z92">
        <v>0.3</v>
      </c>
      <c r="AN92">
        <v>317</v>
      </c>
      <c r="AO92">
        <v>112</v>
      </c>
    </row>
    <row r="93" spans="1:41" x14ac:dyDescent="0.25">
      <c r="A93" t="s">
        <v>278</v>
      </c>
      <c r="B93" s="9">
        <v>1</v>
      </c>
      <c r="C93" s="9">
        <f>INDEX(Refs[Include],MATCH(Params[[#This Row],[Reference]],Refs[ID],0))</f>
        <v>1</v>
      </c>
      <c r="D93" s="9" t="b">
        <f>Params[[#This Row],[N]]=1</f>
        <v>1</v>
      </c>
      <c r="E93" s="3">
        <v>5</v>
      </c>
      <c r="F93" s="18" t="b">
        <f>AND(Params[[#This Row],[t1,mean]]&gt;Params[[#This Row],[t2,mean]],Params[[#This Row],[k1,mean]]&lt;Params[[#This Row],[k2,mean]])</f>
        <v>1</v>
      </c>
      <c r="G93" s="18" t="b">
        <f>AND(SUM(Params[[#This Row],[k3,mean]:[t3,se]])=0,SUM(Params[[#This Row],[k1,mean]:[k1,se]])&lt;&gt;0,SUM(Params[[#This Row],[k2,mean]:[k2,se]])&lt;&gt;0)</f>
        <v>1</v>
      </c>
      <c r="H93" s="16">
        <f>IFERROR((Params[[#This Row],[t1,mean]]*Params[[#This Row],[t2,mean]])/(Params[[#This Row],[t1,mean]]-Params[[#This Row],[t2,mean]]) * LN(Params[[#This Row],[k2,mean]]/Params[[#This Row],[k1,mean]]),"-")</f>
        <v>46.173318807623865</v>
      </c>
      <c r="I93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142.67151264416219</v>
      </c>
      <c r="J93" s="16">
        <f>IF(IFERROR(Params[[#This Row],[k2,mean]]/Params[[#This Row],[k1,mean]],"-")=0,"-",IFERROR(Params[[#This Row],[k2,mean]]/Params[[#This Row],[k1,mean]],"-"))</f>
        <v>1.4</v>
      </c>
      <c r="K93" s="16">
        <f>IFERROR(Params[[#This Row],[k1,mean]]/Params[[#This Row],[k2,mean]],"-")</f>
        <v>0.7142857142857143</v>
      </c>
      <c r="L93" s="16">
        <f>IFERROR(Params[[#This Row],[t1,mean]]/Params[[#This Row],[t2,mean]],"-")</f>
        <v>2.0202020202020203</v>
      </c>
      <c r="M93" s="28">
        <v>0</v>
      </c>
      <c r="P93" s="29">
        <v>140</v>
      </c>
      <c r="R93">
        <v>105</v>
      </c>
      <c r="S93" s="30">
        <v>69.3</v>
      </c>
      <c r="T93">
        <v>3.5</v>
      </c>
      <c r="V93" s="42">
        <v>1</v>
      </c>
      <c r="Y93" s="32">
        <v>1.4</v>
      </c>
      <c r="Z93">
        <v>0.4</v>
      </c>
      <c r="AN93">
        <v>273</v>
      </c>
      <c r="AO93">
        <v>101</v>
      </c>
    </row>
    <row r="94" spans="1:41" x14ac:dyDescent="0.25">
      <c r="A94" t="s">
        <v>278</v>
      </c>
      <c r="B94" s="9">
        <v>1</v>
      </c>
      <c r="C94" s="9">
        <f>INDEX(Refs[Include],MATCH(Params[[#This Row],[Reference]],Refs[ID],0))</f>
        <v>1</v>
      </c>
      <c r="D94" s="9" t="b">
        <f>Params[[#This Row],[N]]=1</f>
        <v>1</v>
      </c>
      <c r="E94" s="3">
        <v>6</v>
      </c>
      <c r="F94" s="18" t="b">
        <f>AND(Params[[#This Row],[t1,mean]]&gt;Params[[#This Row],[t2,mean]],Params[[#This Row],[k1,mean]]&lt;Params[[#This Row],[k2,mean]])</f>
        <v>1</v>
      </c>
      <c r="G94" s="18" t="b">
        <f>AND(SUM(Params[[#This Row],[k3,mean]:[t3,se]])=0,SUM(Params[[#This Row],[k1,mean]:[k1,se]])&lt;&gt;0,SUM(Params[[#This Row],[k2,mean]:[k2,se]])&lt;&gt;0)</f>
        <v>1</v>
      </c>
      <c r="H94" s="16">
        <f>IFERROR((Params[[#This Row],[t1,mean]]*Params[[#This Row],[t2,mean]])/(Params[[#This Row],[t1,mean]]-Params[[#This Row],[t2,mean]]) * LN(Params[[#This Row],[k2,mean]]/Params[[#This Row],[k1,mean]]),"-")</f>
        <v>18.768907517409929</v>
      </c>
      <c r="I94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71.393116034524866</v>
      </c>
      <c r="J94" s="16">
        <f>IF(IFERROR(Params[[#This Row],[k2,mean]]/Params[[#This Row],[k1,mean]],"-")=0,"-",IFERROR(Params[[#This Row],[k2,mean]]/Params[[#This Row],[k1,mean]],"-"))</f>
        <v>2</v>
      </c>
      <c r="K94" s="16">
        <f>IFERROR(Params[[#This Row],[k1,mean]]/Params[[#This Row],[k2,mean]],"-")</f>
        <v>0.5</v>
      </c>
      <c r="L94" s="16">
        <f>IFERROR(Params[[#This Row],[t1,mean]]/Params[[#This Row],[t2,mean]],"-")</f>
        <v>6.9827586206896557</v>
      </c>
      <c r="M94" s="28">
        <v>0</v>
      </c>
      <c r="P94" s="29">
        <v>162</v>
      </c>
      <c r="R94">
        <v>7.3</v>
      </c>
      <c r="S94" s="30">
        <v>23.2</v>
      </c>
      <c r="T94">
        <v>0.4</v>
      </c>
      <c r="V94" s="42">
        <v>1</v>
      </c>
      <c r="Y94" s="32">
        <v>2</v>
      </c>
      <c r="Z94">
        <v>0.9</v>
      </c>
      <c r="AN94">
        <v>338</v>
      </c>
      <c r="AO94">
        <v>146</v>
      </c>
    </row>
    <row r="95" spans="1:41" x14ac:dyDescent="0.25">
      <c r="A95" t="s">
        <v>278</v>
      </c>
      <c r="B95" s="9">
        <v>1</v>
      </c>
      <c r="C95" s="9">
        <f>INDEX(Refs[Include],MATCH(Params[[#This Row],[Reference]],Refs[ID],0))</f>
        <v>1</v>
      </c>
      <c r="D95" s="9" t="b">
        <f>Params[[#This Row],[N]]=1</f>
        <v>1</v>
      </c>
      <c r="E95" s="3">
        <v>7</v>
      </c>
      <c r="F95" s="18" t="b">
        <f>AND(Params[[#This Row],[t1,mean]]&gt;Params[[#This Row],[t2,mean]],Params[[#This Row],[k1,mean]]&lt;Params[[#This Row],[k2,mean]])</f>
        <v>1</v>
      </c>
      <c r="G95" s="18" t="b">
        <f>AND(SUM(Params[[#This Row],[k3,mean]:[t3,se]])=0,SUM(Params[[#This Row],[k1,mean]:[k1,se]])&lt;&gt;0,SUM(Params[[#This Row],[k2,mean]:[k2,se]])&lt;&gt;0)</f>
        <v>1</v>
      </c>
      <c r="H95" s="16">
        <f>IFERROR((Params[[#This Row],[t1,mean]]*Params[[#This Row],[t2,mean]])/(Params[[#This Row],[t1,mean]]-Params[[#This Row],[t2,mean]]) * LN(Params[[#This Row],[k2,mean]]/Params[[#This Row],[k1,mean]]),"-")</f>
        <v>2.1742227856658793</v>
      </c>
      <c r="I95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7.4847178280795772</v>
      </c>
      <c r="J95" s="16">
        <f>IF(IFERROR(Params[[#This Row],[k2,mean]]/Params[[#This Row],[k1,mean]],"-")=0,"-",IFERROR(Params[[#This Row],[k2,mean]]/Params[[#This Row],[k1,mean]],"-"))</f>
        <v>7.1</v>
      </c>
      <c r="K95" s="16">
        <f>IFERROR(Params[[#This Row],[k1,mean]]/Params[[#This Row],[k2,mean]],"-")</f>
        <v>0.14084507042253522</v>
      </c>
      <c r="L95" s="16">
        <f>IFERROR(Params[[#This Row],[t1,mean]]/Params[[#This Row],[t2,mean]],"-")</f>
        <v>119.99999999999999</v>
      </c>
      <c r="M95" s="28">
        <v>0</v>
      </c>
      <c r="P95" s="29">
        <v>132</v>
      </c>
      <c r="R95">
        <v>13.1</v>
      </c>
      <c r="S95" s="30">
        <v>1.1000000000000001</v>
      </c>
      <c r="T95">
        <v>0.5</v>
      </c>
      <c r="V95" s="42">
        <v>1</v>
      </c>
      <c r="Y95" s="32">
        <v>7.1</v>
      </c>
      <c r="Z95">
        <v>4.8</v>
      </c>
      <c r="AN95">
        <v>272</v>
      </c>
      <c r="AO95">
        <v>152</v>
      </c>
    </row>
    <row r="96" spans="1:41" x14ac:dyDescent="0.25">
      <c r="A96" t="s">
        <v>278</v>
      </c>
      <c r="B96" s="9">
        <v>1</v>
      </c>
      <c r="C96" s="9">
        <f>INDEX(Refs[Include],MATCH(Params[[#This Row],[Reference]],Refs[ID],0))</f>
        <v>1</v>
      </c>
      <c r="D96" s="9" t="b">
        <f>Params[[#This Row],[N]]=1</f>
        <v>1</v>
      </c>
      <c r="E96" s="3">
        <v>8</v>
      </c>
      <c r="F96" s="18" t="b">
        <f>AND(Params[[#This Row],[t1,mean]]&gt;Params[[#This Row],[t2,mean]],Params[[#This Row],[k1,mean]]&lt;Params[[#This Row],[k2,mean]])</f>
        <v>1</v>
      </c>
      <c r="G96" s="18" t="b">
        <f>AND(SUM(Params[[#This Row],[k3,mean]:[t3,se]])=0,SUM(Params[[#This Row],[k1,mean]:[k1,se]])&lt;&gt;0,SUM(Params[[#This Row],[k2,mean]:[k2,se]])&lt;&gt;0)</f>
        <v>1</v>
      </c>
      <c r="H96" s="16">
        <f>IFERROR((Params[[#This Row],[t1,mean]]*Params[[#This Row],[t2,mean]])/(Params[[#This Row],[t1,mean]]-Params[[#This Row],[t2,mean]]) * LN(Params[[#This Row],[k2,mean]]/Params[[#This Row],[k1,mean]]),"-")</f>
        <v>5.0791959806797013</v>
      </c>
      <c r="I96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79.485466448075911</v>
      </c>
      <c r="J96" s="16">
        <f>IF(IFERROR(Params[[#This Row],[k2,mean]]/Params[[#This Row],[k1,mean]],"-")=0,"-",IFERROR(Params[[#This Row],[k2,mean]]/Params[[#This Row],[k1,mean]],"-"))</f>
        <v>1.1000000000000001</v>
      </c>
      <c r="K96" s="16">
        <f>IFERROR(Params[[#This Row],[k1,mean]]/Params[[#This Row],[k2,mean]],"-")</f>
        <v>0.90909090909090906</v>
      </c>
      <c r="L96" s="16">
        <f>IFERROR(Params[[#This Row],[t1,mean]]/Params[[#This Row],[t2,mean]],"-")</f>
        <v>4.0399002493765588</v>
      </c>
      <c r="M96" s="28">
        <v>0</v>
      </c>
      <c r="P96" s="29">
        <v>162</v>
      </c>
      <c r="R96">
        <v>10.199999999999999</v>
      </c>
      <c r="S96" s="30">
        <v>40.1</v>
      </c>
      <c r="T96">
        <v>2.2999999999999998</v>
      </c>
      <c r="V96" s="42">
        <v>1</v>
      </c>
      <c r="Y96" s="32">
        <v>1.1000000000000001</v>
      </c>
      <c r="Z96">
        <v>0.1</v>
      </c>
      <c r="AN96">
        <v>348</v>
      </c>
      <c r="AO96">
        <v>162</v>
      </c>
    </row>
    <row r="97" spans="1:41" x14ac:dyDescent="0.25">
      <c r="A97" t="s">
        <v>278</v>
      </c>
      <c r="B97" s="9">
        <v>1</v>
      </c>
      <c r="C97" s="9">
        <f>INDEX(Refs[Include],MATCH(Params[[#This Row],[Reference]],Refs[ID],0))</f>
        <v>1</v>
      </c>
      <c r="D97" s="9" t="b">
        <f>Params[[#This Row],[N]]=1</f>
        <v>1</v>
      </c>
      <c r="E97" s="3">
        <v>9</v>
      </c>
      <c r="F97" s="18" t="b">
        <f>AND(Params[[#This Row],[t1,mean]]&gt;Params[[#This Row],[t2,mean]],Params[[#This Row],[k1,mean]]&lt;Params[[#This Row],[k2,mean]])</f>
        <v>1</v>
      </c>
      <c r="G97" s="18" t="b">
        <f>AND(SUM(Params[[#This Row],[k3,mean]:[t3,se]])=0,SUM(Params[[#This Row],[k1,mean]:[k1,se]])&lt;&gt;0,SUM(Params[[#This Row],[k2,mean]:[k2,se]])&lt;&gt;0)</f>
        <v>1</v>
      </c>
      <c r="H97" s="16">
        <f>IFERROR((Params[[#This Row],[t1,mean]]*Params[[#This Row],[t2,mean]])/(Params[[#This Row],[t1,mean]]-Params[[#This Row],[t2,mean]]) * LN(Params[[#This Row],[k2,mean]]/Params[[#This Row],[k1,mean]]),"-")</f>
        <v>1.8275455851086837</v>
      </c>
      <c r="I97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9.354640155999677</v>
      </c>
      <c r="J97" s="16">
        <f>IF(IFERROR(Params[[#This Row],[k2,mean]]/Params[[#This Row],[k1,mean]],"-")=0,"-",IFERROR(Params[[#This Row],[k2,mean]]/Params[[#This Row],[k1,mean]],"-"))</f>
        <v>3.1</v>
      </c>
      <c r="K97" s="16">
        <f>IFERROR(Params[[#This Row],[k1,mean]]/Params[[#This Row],[k2,mean]],"-")</f>
        <v>0.32258064516129031</v>
      </c>
      <c r="L97" s="16">
        <f>IFERROR(Params[[#This Row],[t1,mean]]/Params[[#This Row],[t2,mean]],"-")</f>
        <v>105.625</v>
      </c>
      <c r="M97" s="28">
        <v>0</v>
      </c>
      <c r="P97" s="29">
        <v>169</v>
      </c>
      <c r="R97">
        <v>49.6</v>
      </c>
      <c r="S97" s="30">
        <v>1.6</v>
      </c>
      <c r="T97">
        <v>0.2</v>
      </c>
      <c r="V97" s="42">
        <v>1</v>
      </c>
      <c r="Y97" s="32">
        <v>3.1</v>
      </c>
      <c r="Z97">
        <v>2.9</v>
      </c>
      <c r="AN97">
        <v>333</v>
      </c>
      <c r="AO97">
        <v>197</v>
      </c>
    </row>
    <row r="98" spans="1:41" x14ac:dyDescent="0.25">
      <c r="A98" t="s">
        <v>278</v>
      </c>
      <c r="B98" s="9">
        <v>1</v>
      </c>
      <c r="C98" s="9">
        <f>INDEX(Refs[Include],MATCH(Params[[#This Row],[Reference]],Refs[ID],0))</f>
        <v>1</v>
      </c>
      <c r="D98" s="9" t="b">
        <f>Params[[#This Row],[N]]=1</f>
        <v>1</v>
      </c>
      <c r="E98" s="3">
        <v>10</v>
      </c>
      <c r="F98" s="18" t="b">
        <f>AND(Params[[#This Row],[t1,mean]]&gt;Params[[#This Row],[t2,mean]],Params[[#This Row],[k1,mean]]&lt;Params[[#This Row],[k2,mean]])</f>
        <v>1</v>
      </c>
      <c r="G98" s="18" t="b">
        <f>AND(SUM(Params[[#This Row],[k3,mean]:[t3,se]])=0,SUM(Params[[#This Row],[k1,mean]:[k1,se]])&lt;&gt;0,SUM(Params[[#This Row],[k2,mean]:[k2,se]])&lt;&gt;0)</f>
        <v>1</v>
      </c>
      <c r="H98" s="16">
        <f>IFERROR((Params[[#This Row],[t1,mean]]*Params[[#This Row],[t2,mean]])/(Params[[#This Row],[t1,mean]]-Params[[#This Row],[t2,mean]]) * LN(Params[[#This Row],[k2,mean]]/Params[[#This Row],[k1,mean]]),"-")</f>
        <v>16.871832508629577</v>
      </c>
      <c r="I98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61.190469861686402</v>
      </c>
      <c r="J98" s="16">
        <f>IF(IFERROR(Params[[#This Row],[k2,mean]]/Params[[#This Row],[k1,mean]],"-")=0,"-",IFERROR(Params[[#This Row],[k2,mean]]/Params[[#This Row],[k1,mean]],"-"))</f>
        <v>2</v>
      </c>
      <c r="K98" s="16">
        <f>IFERROR(Params[[#This Row],[k1,mean]]/Params[[#This Row],[k2,mean]],"-")</f>
        <v>0.5</v>
      </c>
      <c r="L98" s="16">
        <f>IFERROR(Params[[#This Row],[t1,mean]]/Params[[#This Row],[t2,mean]],"-")</f>
        <v>6.1764705882352944</v>
      </c>
      <c r="M98" s="28">
        <v>0</v>
      </c>
      <c r="P98" s="29">
        <v>126</v>
      </c>
      <c r="R98">
        <v>15.1</v>
      </c>
      <c r="S98" s="30">
        <v>20.399999999999999</v>
      </c>
      <c r="T98">
        <v>1.5</v>
      </c>
      <c r="V98" s="42">
        <v>1</v>
      </c>
      <c r="Y98" s="32">
        <v>2</v>
      </c>
      <c r="Z98">
        <v>0.5</v>
      </c>
      <c r="AN98">
        <v>410</v>
      </c>
      <c r="AO98">
        <v>251</v>
      </c>
    </row>
    <row r="99" spans="1:41" x14ac:dyDescent="0.25">
      <c r="A99" t="s">
        <v>357</v>
      </c>
      <c r="B99" s="9">
        <v>1</v>
      </c>
      <c r="C99" s="9">
        <f>INDEX(Refs[Include],MATCH(Params[[#This Row],[Reference]],Refs[ID],0))</f>
        <v>1</v>
      </c>
      <c r="D99" s="21" t="b">
        <f>[1]!Params[[#This Row],[N]]=1</f>
        <v>1</v>
      </c>
      <c r="E99" s="3">
        <v>1</v>
      </c>
      <c r="F99" s="18" t="b">
        <f>AND(Params[[#This Row],[t1,mean]]&gt;Params[[#This Row],[t2,mean]],Params[[#This Row],[k1,mean]]&lt;Params[[#This Row],[k2,mean]])</f>
        <v>1</v>
      </c>
      <c r="G99" s="18" t="b">
        <f>AND(SUM(Params[[#This Row],[k3,mean]:[t3,se]])=0,SUM(Params[[#This Row],[k1,mean]:[k1,se]])&lt;&gt;0,SUM(Params[[#This Row],[k2,mean]:[k2,se]])&lt;&gt;0)</f>
        <v>1</v>
      </c>
      <c r="H99" s="16">
        <f>IFERROR((Params[[#This Row],[t1,mean]]*Params[[#This Row],[t2,mean]])/(Params[[#This Row],[t1,mean]]-Params[[#This Row],[t2,mean]]) * LN(Params[[#This Row],[k2,mean]]/Params[[#This Row],[k1,mean]]),"-")</f>
        <v>7.8049883094601276</v>
      </c>
      <c r="I99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32.159602059027023</v>
      </c>
      <c r="J99" s="16">
        <f>IF(IFERROR(Params[[#This Row],[k2,mean]]/Params[[#This Row],[k1,mean]],"-")=0,"-",IFERROR(Params[[#This Row],[k2,mean]]/Params[[#This Row],[k1,mean]],"-"))</f>
        <v>1.3850415512465375</v>
      </c>
      <c r="K99" s="16">
        <f>IFERROR(Params[[#This Row],[k1,mean]]/Params[[#This Row],[k2,mean]],"-")</f>
        <v>0.72199999999999998</v>
      </c>
      <c r="L99" s="16">
        <f>IFERROR(Params[[#This Row],[t1,mean]]/Params[[#This Row],[t2,mean]],"-")</f>
        <v>2.76324395029431</v>
      </c>
      <c r="P99" s="29">
        <v>42.25</v>
      </c>
      <c r="S99" s="30">
        <v>15.29</v>
      </c>
      <c r="V99" s="31">
        <v>1.083E-5</v>
      </c>
      <c r="Y99" s="32">
        <v>1.5E-5</v>
      </c>
    </row>
    <row r="100" spans="1:41" x14ac:dyDescent="0.25">
      <c r="A100" t="s">
        <v>358</v>
      </c>
      <c r="B100" s="9">
        <v>1</v>
      </c>
      <c r="C100" s="9">
        <f>INDEX(Refs[Include],MATCH(Params[[#This Row],[Reference]],Refs[ID],0))</f>
        <v>1</v>
      </c>
      <c r="D100" s="21" t="b">
        <f>Params[[#This Row],[N]]=1</f>
        <v>1</v>
      </c>
      <c r="E100" s="3" t="s">
        <v>369</v>
      </c>
      <c r="F100" s="18" t="b">
        <f>AND(Params[[#This Row],[t1,mean]]&gt;Params[[#This Row],[t2,mean]],Params[[#This Row],[k1,mean]]&lt;Params[[#This Row],[k2,mean]])</f>
        <v>0</v>
      </c>
      <c r="G100" s="18" t="b">
        <f>AND(SUM(Params[[#This Row],[k3,mean]:[t3,se]])=0,SUM(Params[[#This Row],[k1,mean]:[k1,se]])&lt;&gt;0,SUM(Params[[#This Row],[k2,mean]:[k2,se]])&lt;&gt;0)</f>
        <v>1</v>
      </c>
      <c r="H100" s="16" t="str">
        <f>IFERROR((Params[[#This Row],[t1,mean]]*Params[[#This Row],[t2,mean]])/(Params[[#This Row],[t1,mean]]-Params[[#This Row],[t2,mean]]) * LN(Params[[#This Row],[k2,mean]]/Params[[#This Row],[k1,mean]]),"-")</f>
        <v>-</v>
      </c>
      <c r="I100" s="16" t="str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-</v>
      </c>
      <c r="J100" s="16">
        <f>IF(IFERROR(Params[[#This Row],[k2,mean]]/Params[[#This Row],[k1,mean]],"-")=0,"-",IFERROR(Params[[#This Row],[k2,mean]]/Params[[#This Row],[k1,mean]],"-"))</f>
        <v>5.6</v>
      </c>
      <c r="K100" s="16">
        <f>IFERROR(Params[[#This Row],[k1,mean]]/Params[[#This Row],[k2,mean]],"-")</f>
        <v>0.17857142857142858</v>
      </c>
      <c r="L100" s="16">
        <f>IFERROR(Params[[#This Row],[t1,mean]]/Params[[#This Row],[t2,mean]],"-")</f>
        <v>1</v>
      </c>
      <c r="P100" s="29">
        <v>30</v>
      </c>
      <c r="S100" s="30">
        <v>30</v>
      </c>
      <c r="V100" s="31">
        <v>2.5000000000000001E-3</v>
      </c>
      <c r="Y100" s="32">
        <v>1.4E-2</v>
      </c>
    </row>
    <row r="101" spans="1:41" x14ac:dyDescent="0.25">
      <c r="A101" t="s">
        <v>358</v>
      </c>
      <c r="B101" s="9">
        <v>1</v>
      </c>
      <c r="C101" s="9">
        <f>INDEX(Refs[Include],MATCH(Params[[#This Row],[Reference]],Refs[ID],0))</f>
        <v>1</v>
      </c>
      <c r="D101" s="21" t="b">
        <f>Params[[#This Row],[N]]=1</f>
        <v>1</v>
      </c>
      <c r="E101" s="3" t="s">
        <v>370</v>
      </c>
      <c r="F101" s="18" t="b">
        <f>AND(Params[[#This Row],[t1,mean]]&gt;Params[[#This Row],[t2,mean]],Params[[#This Row],[k1,mean]]&lt;Params[[#This Row],[k2,mean]])</f>
        <v>1</v>
      </c>
      <c r="G101" s="18" t="b">
        <f>AND(SUM(Params[[#This Row],[k3,mean]:[t3,se]])=0,SUM(Params[[#This Row],[k1,mean]:[k1,se]])&lt;&gt;0,SUM(Params[[#This Row],[k2,mean]:[k2,se]])&lt;&gt;0)</f>
        <v>1</v>
      </c>
      <c r="H101" s="16">
        <f>IFERROR((Params[[#This Row],[t1,mean]]*Params[[#This Row],[t2,mean]])/(Params[[#This Row],[t1,mean]]-Params[[#This Row],[t2,mean]]) * LN(Params[[#This Row],[k2,mean]]/Params[[#This Row],[k1,mean]]),"-")</f>
        <v>56.297443120414648</v>
      </c>
      <c r="I101" s="16">
        <f>IFERROR((Params[[#This Row],[t1,mean]]*Params[[#This Row],[t2,mean]])/(Params[[#This Row],[t1,mean]]-Params[[#This Row],[t2,mean]]) * LN((Params[[#This Row],[k2,mean]]/Params[[#This Row],[k1,mean]])*(Params[[#This Row],[t1,mean]]/Params[[#This Row],[t2,mean]])),"-")</f>
        <v>96.100085675438351</v>
      </c>
      <c r="J101" s="16">
        <f>IF(IFERROR(Params[[#This Row],[k2,mean]]/Params[[#This Row],[k1,mean]],"-")=0,"-",IFERROR(Params[[#This Row],[k2,mean]]/Params[[#This Row],[k1,mean]],"-"))</f>
        <v>2.9777777777777779</v>
      </c>
      <c r="K101" s="16">
        <f>IFERROR(Params[[#This Row],[k1,mean]]/Params[[#This Row],[k2,mean]],"-")</f>
        <v>0.33582089552238803</v>
      </c>
      <c r="L101" s="16">
        <f>IFERROR(Params[[#This Row],[t1,mean]]/Params[[#This Row],[t2,mean]],"-")</f>
        <v>2.1629416005767848</v>
      </c>
      <c r="P101" s="29">
        <v>60</v>
      </c>
      <c r="S101" s="30">
        <v>27.74</v>
      </c>
      <c r="V101" s="31">
        <v>2.2499999999999999E-2</v>
      </c>
      <c r="Y101" s="32">
        <v>6.7000000000000004E-2</v>
      </c>
    </row>
    <row r="102" spans="1:41" x14ac:dyDescent="0.25">
      <c r="G102" s="10"/>
    </row>
    <row r="103" spans="1:41" x14ac:dyDescent="0.25">
      <c r="G103" s="14" t="s">
        <v>372</v>
      </c>
      <c r="H103" s="4">
        <f t="array" ref="H103">COUNT(IF(Params[Include]*Params[Constraints]*Params[Const.Time],Params[N],""))</f>
        <v>42</v>
      </c>
    </row>
    <row r="104" spans="1:41" ht="15.75" thickBot="1" x14ac:dyDescent="0.3">
      <c r="G104" s="14" t="s">
        <v>375</v>
      </c>
      <c r="H104" s="4">
        <f t="array" ref="H104">SUM(IF(Params[Include]*Params[Constraints]*Params[Const.Time],Params[N],""))</f>
        <v>49</v>
      </c>
    </row>
    <row r="105" spans="1:41" ht="15.75" thickBot="1" x14ac:dyDescent="0.3">
      <c r="G105" s="46" t="s">
        <v>373</v>
      </c>
      <c r="H105" s="47">
        <f t="array" ref="H105">AVERAGE(IF(Params[Include]*Params[Constraints]*Params[Const.Time],Params[tn],""))</f>
        <v>17.342193455888896</v>
      </c>
      <c r="I105" s="47">
        <f t="array" ref="I105">AVERAGE(IF(Params[Include]*Params[Constraints]*Params[Const.Time],Params[tg],""))</f>
        <v>38.622433163341213</v>
      </c>
      <c r="J105" s="47">
        <f t="array" ref="J105">AVERAGE(IF(Params[Include]*Params[Constraints]*Params[Const.Time],Params[k2/k1],""))</f>
        <v>3.8643678375120176</v>
      </c>
      <c r="K105" s="47">
        <f t="array" ref="K105">AVERAGE(IF(Params[Include]*Params[Constraints]*Params[Const.Time],Params[k1/k2],""))</f>
        <v>0.4400026314155478</v>
      </c>
      <c r="L105" s="47">
        <f t="array" ref="L105">AVERAGE(IF(Params[Include]*Params[Constraints]*Params[Const.Time],Params[t1/t2],""))</f>
        <v>11.444663769989734</v>
      </c>
      <c r="M105" s="48"/>
      <c r="N105" s="49"/>
      <c r="O105" s="49"/>
      <c r="P105" s="50">
        <f t="array" ref="P105">AVERAGE(IF(Params[Include]*Params[Constraints]*Params[Const.Time],Params[t1,mean],""))</f>
        <v>55.151190476190472</v>
      </c>
      <c r="Q105" s="51"/>
      <c r="R105" s="51"/>
      <c r="S105" s="52">
        <f t="array" ref="S105">AVERAGE(IF(Params[Include]*Params[Constraints]*Params[Const.Time],Params[t2,mean],""))</f>
        <v>12.143571428571432</v>
      </c>
    </row>
    <row r="106" spans="1:41" ht="15.75" thickBot="1" x14ac:dyDescent="0.3">
      <c r="G106" s="46" t="s">
        <v>374</v>
      </c>
      <c r="H106" s="47">
        <f t="array" ref="H106">STDEV(IF(Params[Include]*Params[Constraints]*Params[Const.Time],Params[tn],""))</f>
        <v>24.767041006550617</v>
      </c>
      <c r="I106" s="47">
        <f t="array" ref="I106">STDEV(IF(Params[Include]*Params[Constraints]*Params[Const.Time],Params[tg],""))</f>
        <v>37.601208763628151</v>
      </c>
      <c r="J106" s="47">
        <f t="array" ref="J106">STDEV(IF(Params[Include]*Params[Constraints]*Params[Const.Time],Params[k2/k1],""))</f>
        <v>5.871829832932729</v>
      </c>
      <c r="K106" s="47">
        <f t="array" ref="K106">STDEV(IF(Params[Include]*Params[Constraints]*Params[Const.Time],Params[k1/k2],""))</f>
        <v>0.23710060389827167</v>
      </c>
      <c r="L106" s="47">
        <f t="array" ref="L106">STDEV(IF(Params[Include]*Params[Constraints]*Params[Const.Time],Params[t1/t2],""))</f>
        <v>24.53085218028983</v>
      </c>
      <c r="M106" s="48"/>
      <c r="N106" s="49"/>
      <c r="O106" s="49"/>
      <c r="P106" s="50">
        <f t="array" ref="P106">STDEV(IF(Params[Include]*Params[Constraints]*Params[Const.Time],Params[t1,mean],""))</f>
        <v>43.618879454768937</v>
      </c>
      <c r="Q106" s="51"/>
      <c r="R106" s="51"/>
      <c r="S106" s="52">
        <f t="array" ref="S106">STDEV(IF(Params[Include]*Params[Constraints]*Params[Const.Time],Params[t2,mean],""))</f>
        <v>12.728042752114384</v>
      </c>
      <c r="T106" s="2"/>
      <c r="U106" s="2"/>
    </row>
    <row r="107" spans="1:41" x14ac:dyDescent="0.25">
      <c r="G107" s="14" t="s">
        <v>202</v>
      </c>
      <c r="H107" s="27">
        <f>H106/H105</f>
        <v>1.4281377421805004</v>
      </c>
      <c r="I107" s="27">
        <f>I106/I105</f>
        <v>0.9735587761808242</v>
      </c>
      <c r="J107" s="27">
        <f>J106/J105</f>
        <v>1.5194800494750957</v>
      </c>
      <c r="K107" s="27">
        <f>K106/K105</f>
        <v>0.53886178620224856</v>
      </c>
      <c r="L107" s="27">
        <f>L106/L105</f>
        <v>2.1434314430988159</v>
      </c>
      <c r="P107" s="43">
        <f>P106/P105</f>
        <v>0.79089642631739399</v>
      </c>
      <c r="Q107" s="44"/>
      <c r="R107" s="44"/>
      <c r="S107" s="45">
        <f>S106/S105</f>
        <v>1.0481301013446345</v>
      </c>
      <c r="T107" s="2"/>
      <c r="U107" s="2"/>
    </row>
    <row r="108" spans="1:41" x14ac:dyDescent="0.25">
      <c r="T108" s="2"/>
      <c r="U108" s="2"/>
    </row>
    <row r="109" spans="1:41" x14ac:dyDescent="0.25">
      <c r="T109" s="2"/>
      <c r="U109" s="2"/>
    </row>
  </sheetData>
  <conditionalFormatting sqref="F2:G85 F87:G98 F107:G1048576">
    <cfRule type="expression" priority="29" stopIfTrue="1">
      <formula>ISBLANK(F3)</formula>
    </cfRule>
    <cfRule type="cellIs" dxfId="20" priority="30" operator="equal">
      <formula>FALSE</formula>
    </cfRule>
    <cfRule type="cellIs" dxfId="19" priority="31" operator="equal">
      <formula>TRUE</formula>
    </cfRule>
  </conditionalFormatting>
  <conditionalFormatting sqref="F86:G86">
    <cfRule type="expression" priority="41" stopIfTrue="1">
      <formula>ISBLANK(#REF!)</formula>
    </cfRule>
    <cfRule type="cellIs" dxfId="18" priority="42" operator="equal">
      <formula>FALSE</formula>
    </cfRule>
    <cfRule type="cellIs" dxfId="17" priority="43" operator="equal">
      <formula>TRUE</formula>
    </cfRule>
  </conditionalFormatting>
  <conditionalFormatting sqref="I3:I98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3:L98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3:Y98 V3:V98">
    <cfRule type="cellIs" dxfId="16" priority="25" operator="lessThan">
      <formula>0</formula>
    </cfRule>
  </conditionalFormatting>
  <conditionalFormatting sqref="F101:G101">
    <cfRule type="expression" priority="50" stopIfTrue="1">
      <formula>ISBLANK(F105)</formula>
    </cfRule>
    <cfRule type="cellIs" dxfId="15" priority="51" operator="equal">
      <formula>FALSE</formula>
    </cfRule>
    <cfRule type="cellIs" dxfId="14" priority="52" operator="equal">
      <formula>TRUE</formula>
    </cfRule>
  </conditionalFormatting>
  <conditionalFormatting sqref="F99:G101">
    <cfRule type="expression" priority="15" stopIfTrue="1">
      <formula>ISBLANK(F100)</formula>
    </cfRule>
    <cfRule type="cellIs" dxfId="13" priority="16" operator="equal">
      <formula>FALSE</formula>
    </cfRule>
    <cfRule type="cellIs" dxfId="12" priority="17" operator="equal">
      <formula>TRUE</formula>
    </cfRule>
  </conditionalFormatting>
  <conditionalFormatting sqref="H99:H100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99:I100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99:L100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99:Y100 V99:V100">
    <cfRule type="cellIs" dxfId="11" priority="18" operator="lessThan">
      <formula>0</formula>
    </cfRule>
  </conditionalFormatting>
  <conditionalFormatting sqref="J1:K101 J108:K1048576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:I101 I108:I1048576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:L101 L108:L1048576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98 H101 H107:H1048576"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1 H107:H1048576">
    <cfRule type="colorScale" priority="6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07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07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07:K107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07:K107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0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07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07:L107">
    <cfRule type="colorScale" priority="2">
      <colorScale>
        <cfvo type="min"/>
        <cfvo type="max"/>
        <color rgb="FFFCFCFF"/>
        <color rgb="FFF8696B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07:S10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4"/>
  <sheetViews>
    <sheetView workbookViewId="0">
      <selection activeCell="H9" sqref="H9"/>
    </sheetView>
  </sheetViews>
  <sheetFormatPr defaultRowHeight="15" x14ac:dyDescent="0.25"/>
  <cols>
    <col min="1" max="1" width="10.5703125" style="14" customWidth="1"/>
    <col min="2" max="4" width="9.140625" style="11"/>
    <col min="6" max="6" width="13.28515625" bestFit="1" customWidth="1"/>
  </cols>
  <sheetData>
    <row r="1" spans="1:4" x14ac:dyDescent="0.25">
      <c r="A1" s="14" t="s">
        <v>199</v>
      </c>
      <c r="B1" s="11" t="s">
        <v>200</v>
      </c>
      <c r="C1" s="11" t="s">
        <v>201</v>
      </c>
      <c r="D1" s="11" t="s">
        <v>202</v>
      </c>
    </row>
    <row r="2" spans="1:4" x14ac:dyDescent="0.25">
      <c r="A2" s="15" t="s">
        <v>92</v>
      </c>
      <c r="B2" s="11">
        <f t="array" aca="1" ref="B2" ca="1">AVERAGE(IF(Params[Const.Time], INDIRECT("Params["&amp;Table3[[#This Row],[Variable]]&amp;"]"), ""))</f>
        <v>1.5705867899056019</v>
      </c>
      <c r="C2" s="11">
        <f t="array" aca="1" ref="C2" ca="1">STDEV(IF(Params[Const.Time], INDIRECT("Params["&amp;Table3[[#This Row],[Variable]]&amp;"]"), ""))</f>
        <v>109.25520908959562</v>
      </c>
      <c r="D2" s="11">
        <f ca="1">Table3[[#This Row],[SD]]/Table3[[#This Row],[Mean]]</f>
        <v>69.563305760493677</v>
      </c>
    </row>
    <row r="3" spans="1:4" x14ac:dyDescent="0.25">
      <c r="A3" s="15" t="s">
        <v>192</v>
      </c>
      <c r="B3" s="11">
        <f t="array" aca="1" ref="B3" ca="1">AVERAGE(IF(Params[Const.Time], INDIRECT("Params["&amp;Table3[[#This Row],[Variable]]&amp;"]"), ""))</f>
        <v>22.352991453796733</v>
      </c>
      <c r="C3" s="11">
        <f t="array" aca="1" ref="C3" ca="1">STDEV(IF(Params[Const.Time], INDIRECT("Params["&amp;Table3[[#This Row],[Variable]]&amp;"]"), ""))</f>
        <v>111.09022305536624</v>
      </c>
      <c r="D3" s="11">
        <f ca="1">Table3[[#This Row],[SD]]/Table3[[#This Row],[Mean]]</f>
        <v>4.9698145899168757</v>
      </c>
    </row>
    <row r="4" spans="1:4" x14ac:dyDescent="0.25">
      <c r="A4" s="15" t="s">
        <v>195</v>
      </c>
      <c r="B4" s="11">
        <f t="array" aca="1" ref="B4" ca="1">AVERAGE(IF(Params[Const.Time], INDIRECT("Params["&amp;Table3[[#This Row],[Variable]]&amp;"]"), ""))</f>
        <v>0.61246398530535251</v>
      </c>
      <c r="C4" s="11">
        <f t="array" aca="1" ref="C4" ca="1">STDEV(IF(Params[Const.Time], INDIRECT("Params["&amp;Table3[[#This Row],[Variable]]&amp;"]"), ""))</f>
        <v>1.1732225275567369</v>
      </c>
      <c r="D4" s="11">
        <f ca="1">Table3[[#This Row],[SD]]/Table3[[#This Row],[Mean]]</f>
        <v>1.9155779861436431</v>
      </c>
    </row>
    <row r="5" spans="1:4" x14ac:dyDescent="0.25">
      <c r="A5" s="15" t="s">
        <v>17</v>
      </c>
      <c r="B5" s="11">
        <f t="array" aca="1" ref="B5" ca="1">AVERAGE(IF(Params[Const.Time], INDIRECT("Params["&amp;Table3[[#This Row],[Variable]]&amp;"]"), ""))</f>
        <v>57.588574324324313</v>
      </c>
      <c r="C5" s="11">
        <f t="array" aca="1" ref="C5" ca="1">STDEV(IF(Params[Const.Time], INDIRECT("Params["&amp;Table3[[#This Row],[Variable]]&amp;"]"), ""))</f>
        <v>140.87028542000223</v>
      </c>
      <c r="D5" s="11">
        <f ca="1">Table3[[#This Row],[SD]]/Table3[[#This Row],[Mean]]</f>
        <v>2.4461499016568173</v>
      </c>
    </row>
    <row r="6" spans="1:4" x14ac:dyDescent="0.25">
      <c r="A6" s="15" t="s">
        <v>7</v>
      </c>
      <c r="B6" s="11">
        <f t="array" aca="1" ref="B6" ca="1">AVERAGE(IF(Params[Const.Time], INDIRECT("Params["&amp;Table3[[#This Row],[Variable]]&amp;"]"), ""))</f>
        <v>44.956882432432437</v>
      </c>
      <c r="C6" s="11">
        <f t="array" aca="1" ref="C6" ca="1">STDEV(IF(Params[Const.Time], INDIRECT("Params["&amp;Table3[[#This Row],[Variable]]&amp;"]"), ""))</f>
        <v>35.888073128743905</v>
      </c>
      <c r="D6" s="11">
        <f ca="1">Table3[[#This Row],[SD]]/Table3[[#This Row],[Mean]]</f>
        <v>0.79827762039953676</v>
      </c>
    </row>
    <row r="7" spans="1:4" x14ac:dyDescent="0.25">
      <c r="A7" s="15" t="s">
        <v>10</v>
      </c>
      <c r="B7" s="11">
        <f t="array" aca="1" ref="B7" ca="1">AVERAGE(IF(Params[Const.Time], INDIRECT("Params["&amp;Table3[[#This Row],[Variable]]&amp;"]"), ""))</f>
        <v>13.243231081081079</v>
      </c>
      <c r="C7" s="11">
        <f t="array" aca="1" ref="C7" ca="1">STDEV(IF(Params[Const.Time], INDIRECT("Params["&amp;Table3[[#This Row],[Variable]]&amp;"]"), ""))</f>
        <v>13.024244512708943</v>
      </c>
      <c r="D7" s="11">
        <f ca="1">Table3[[#This Row],[SD]]/Table3[[#This Row],[Mean]]</f>
        <v>0.98346426434520395</v>
      </c>
    </row>
    <row r="8" spans="1:4" x14ac:dyDescent="0.25">
      <c r="A8" s="15" t="s">
        <v>4</v>
      </c>
      <c r="B8" s="11">
        <f t="array" aca="1" ref="B8" ca="1">AVERAGE(IF(Params[Const.Time], INDIRECT("Params["&amp;Table3[[#This Row],[Variable]]&amp;"]"), ""))</f>
        <v>0.26588511256756758</v>
      </c>
      <c r="C8" s="11">
        <f t="array" aca="1" ref="C8" ca="1">STDEV(IF(Params[Const.Time], INDIRECT("Params["&amp;Table3[[#This Row],[Variable]]&amp;"]"), ""))</f>
        <v>0.45301636675131435</v>
      </c>
      <c r="D8" s="11">
        <f ca="1">Table3[[#This Row],[SD]]/Table3[[#This Row],[Mean]]</f>
        <v>1.7038049343067012</v>
      </c>
    </row>
    <row r="9" spans="1:4" x14ac:dyDescent="0.25">
      <c r="A9" s="15" t="s">
        <v>13</v>
      </c>
      <c r="B9" s="11">
        <f t="array" aca="1" ref="B9" ca="1">AVERAGE(IF(Params[Const.Time], INDIRECT("Params["&amp;Table3[[#This Row],[Variable]]&amp;"]"), ""))</f>
        <v>0.72333053648648649</v>
      </c>
      <c r="C9" s="11">
        <f t="array" aca="1" ref="C9" ca="1">STDEV(IF(Params[Const.Time], INDIRECT("Params["&amp;Table3[[#This Row],[Variable]]&amp;"]"), ""))</f>
        <v>1.7817096791090146</v>
      </c>
      <c r="D9" s="11">
        <f ca="1">Table3[[#This Row],[SD]]/Table3[[#This Row],[Mean]]</f>
        <v>2.4632026289993374</v>
      </c>
    </row>
    <row r="10" spans="1:4" x14ac:dyDescent="0.25">
      <c r="A10" s="15" t="s">
        <v>99</v>
      </c>
      <c r="B10" s="11">
        <f t="array" aca="1" ref="B10" ca="1">AVERAGE(IF(Params[Const.Time], INDIRECT("Params["&amp;Table3[[#This Row],[Variable]]&amp;"]"), ""))</f>
        <v>0</v>
      </c>
      <c r="C10" s="11">
        <f t="array" aca="1" ref="C10" ca="1">STDEV(IF(Params[Const.Time], INDIRECT("Params["&amp;Table3[[#This Row],[Variable]]&amp;"]"), ""))</f>
        <v>0</v>
      </c>
      <c r="D10" s="11" t="e">
        <f ca="1">Table3[[#This Row],[SD]]/Table3[[#This Row],[Mean]]</f>
        <v>#DIV/0!</v>
      </c>
    </row>
    <row r="11" spans="1:4" x14ac:dyDescent="0.25">
      <c r="A11" s="15" t="s">
        <v>106</v>
      </c>
      <c r="B11" s="11">
        <f t="array" aca="1" ref="B11" ca="1">AVERAGE(IF(Params[Const.Time], INDIRECT("Params["&amp;Table3[[#This Row],[Variable]]&amp;"]"), ""))</f>
        <v>0</v>
      </c>
      <c r="C11" s="11">
        <f t="array" aca="1" ref="C11" ca="1">STDEV(IF(Params[Const.Time], INDIRECT("Params["&amp;Table3[[#This Row],[Variable]]&amp;"]"), ""))</f>
        <v>0</v>
      </c>
      <c r="D11" s="11" t="e">
        <f ca="1">Table3[[#This Row],[SD]]/Table3[[#This Row],[Mean]]</f>
        <v>#DIV/0!</v>
      </c>
    </row>
    <row r="12" spans="1:4" x14ac:dyDescent="0.25">
      <c r="A12" s="15" t="s">
        <v>69</v>
      </c>
      <c r="B12" s="11">
        <f t="array" aca="1" ref="B12" ca="1">AVERAGE(IF(Params[Const.Time], INDIRECT("Params["&amp;Table3[[#This Row],[Variable]]&amp;"]"), ""))</f>
        <v>170.98421561598008</v>
      </c>
      <c r="C12" s="11">
        <f t="array" aca="1" ref="C12" ca="1">STDEV(IF(Params[Const.Time], INDIRECT("Params["&amp;Table3[[#This Row],[Variable]]&amp;"]"), ""))</f>
        <v>388.55523127167805</v>
      </c>
      <c r="D12" s="11">
        <f ca="1">Table3[[#This Row],[SD]]/Table3[[#This Row],[Mean]]</f>
        <v>2.2724625771559461</v>
      </c>
    </row>
    <row r="13" spans="1:4" x14ac:dyDescent="0.25">
      <c r="A13" s="15" t="s">
        <v>70</v>
      </c>
      <c r="B13" s="11">
        <f t="array" aca="1" ref="B13" ca="1">AVERAGE(IF(Params[Const.Time], INDIRECT("Params["&amp;Table3[[#This Row],[Variable]]&amp;"]"), ""))</f>
        <v>42.084445945945959</v>
      </c>
      <c r="C13" s="11">
        <f t="array" aca="1" ref="C13" ca="1">STDEV(IF(Params[Const.Time], INDIRECT("Params["&amp;Table3[[#This Row],[Variable]]&amp;"]"), ""))</f>
        <v>94.189920213574354</v>
      </c>
      <c r="D13" s="11">
        <f ca="1">Table3[[#This Row],[SD]]/Table3[[#This Row],[Mean]]</f>
        <v>2.2381171498504133</v>
      </c>
    </row>
    <row r="14" spans="1:4" x14ac:dyDescent="0.25">
      <c r="A14" s="15" t="s">
        <v>71</v>
      </c>
      <c r="B14" s="11">
        <f t="array" aca="1" ref="B14" ca="1">AVERAGE(IF(Params[Const.Time], INDIRECT("Params["&amp;Table3[[#This Row],[Variable]]&amp;"]"), ""))</f>
        <v>18.799819345661447</v>
      </c>
      <c r="C14" s="11">
        <f t="array" aca="1" ref="C14" ca="1">STDEV(IF(Params[Const.Time], INDIRECT("Params["&amp;Table3[[#This Row],[Variable]]&amp;"]"), ""))</f>
        <v>77.783915291774932</v>
      </c>
      <c r="D14" s="11">
        <f ca="1">Table3[[#This Row],[SD]]/Table3[[#This Row],[Mean]]</f>
        <v>4.1374820609499965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2"/>
  <sheetViews>
    <sheetView workbookViewId="0">
      <selection activeCell="N22" sqref="N22"/>
    </sheetView>
  </sheetViews>
  <sheetFormatPr defaultRowHeight="15" x14ac:dyDescent="0.25"/>
  <cols>
    <col min="1" max="1" width="13.28515625" bestFit="1" customWidth="1"/>
    <col min="2" max="2" width="13.28515625" customWidth="1"/>
    <col min="3" max="3" width="10.85546875" customWidth="1"/>
    <col min="5" max="5" width="12" customWidth="1"/>
  </cols>
  <sheetData>
    <row r="1" spans="1:5" x14ac:dyDescent="0.25">
      <c r="A1" s="14" t="s">
        <v>115</v>
      </c>
      <c r="B1" t="s">
        <v>266</v>
      </c>
      <c r="C1" s="14" t="s">
        <v>207</v>
      </c>
      <c r="D1" s="14" t="s">
        <v>77</v>
      </c>
      <c r="E1" s="14" t="s">
        <v>208</v>
      </c>
    </row>
    <row r="2" spans="1:5" x14ac:dyDescent="0.25">
      <c r="A2" s="6" t="s">
        <v>116</v>
      </c>
      <c r="B2" s="6">
        <f>COUNTIFS(Refs[Impulse],Table5[Activity],Refs[Relevant],1)</f>
        <v>9</v>
      </c>
      <c r="C2">
        <f>COUNTIFS(Refs[Impulse],Table5[Activity],Refs[Rows],"&gt;0",Refs[Include],1)</f>
        <v>4</v>
      </c>
      <c r="D2">
        <f>COUNTIFS(Refs[Impulse],Table5[Activity],Refs[Rows],1,Refs[Include],1)</f>
        <v>2</v>
      </c>
      <c r="E2">
        <f>COUNTIFS(Refs[Impulse],Table5[Activity],Refs[Rows],"&gt;1",Refs[Include],1)</f>
        <v>2</v>
      </c>
    </row>
    <row r="3" spans="1:5" x14ac:dyDescent="0.25">
      <c r="A3" s="6" t="s">
        <v>128</v>
      </c>
      <c r="B3" s="6">
        <f>COUNTIFS(Refs[Impulse],Table5[Activity],Refs[Relevant],1)</f>
        <v>6</v>
      </c>
      <c r="C3">
        <f>COUNTIFS(Refs[Impulse],Table5[Activity],Refs[Rows],"&gt;0",Refs[Include],1)</f>
        <v>4</v>
      </c>
      <c r="D3">
        <f>COUNTIFS(Refs[Impulse],Table5[Activity],Refs[Rows],1,Refs[Include],1)</f>
        <v>0</v>
      </c>
      <c r="E3">
        <f>COUNTIFS(Refs[Impulse],Table5[Activity],Refs[Rows],"&gt;1",Refs[Include],1)</f>
        <v>4</v>
      </c>
    </row>
    <row r="4" spans="1:5" x14ac:dyDescent="0.25">
      <c r="A4" s="6" t="s">
        <v>168</v>
      </c>
      <c r="B4" s="6">
        <f>COUNTIFS(Refs[Impulse],Table5[Activity],Refs[Relevant],1)</f>
        <v>4</v>
      </c>
      <c r="C4">
        <f>COUNTIFS(Refs[Impulse],Table5[Activity],Refs[Rows],"&gt;0",Refs[Include],1)</f>
        <v>2</v>
      </c>
      <c r="D4">
        <f>COUNTIFS(Refs[Impulse],Table5[Activity],Refs[Rows],1,Refs[Include],1)</f>
        <v>1</v>
      </c>
      <c r="E4">
        <f>COUNTIFS(Refs[Impulse],Table5[Activity],Refs[Rows],"&gt;1",Refs[Include],1)</f>
        <v>1</v>
      </c>
    </row>
    <row r="5" spans="1:5" x14ac:dyDescent="0.25">
      <c r="A5" s="6" t="s">
        <v>153</v>
      </c>
      <c r="B5" s="6">
        <f>COUNTIFS(Refs[Impulse],Table5[Activity],Refs[Relevant],1)</f>
        <v>2</v>
      </c>
      <c r="C5">
        <f>COUNTIFS(Refs[Impulse],Table5[Activity],Refs[Rows],"&gt;0",Refs[Include],1)</f>
        <v>2</v>
      </c>
      <c r="D5">
        <f>COUNTIFS(Refs[Impulse],Table5[Activity],Refs[Rows],1,Refs[Include],1)</f>
        <v>1</v>
      </c>
      <c r="E5">
        <f>COUNTIFS(Refs[Impulse],Table5[Activity],Refs[Rows],"&gt;1",Refs[Include],1)</f>
        <v>1</v>
      </c>
    </row>
    <row r="6" spans="1:5" x14ac:dyDescent="0.25">
      <c r="A6" s="6" t="s">
        <v>185</v>
      </c>
      <c r="B6" s="6">
        <f>COUNTIFS(Refs[Impulse],Table5[Activity],Refs[Relevant],1)</f>
        <v>2</v>
      </c>
      <c r="C6">
        <f>COUNTIFS(Refs[Impulse],Table5[Activity],Refs[Rows],"&gt;0",Refs[Include],1)</f>
        <v>0</v>
      </c>
      <c r="D6">
        <f>COUNTIFS(Refs[Impulse],Table5[Activity],Refs[Rows],1,Refs[Include],1)</f>
        <v>0</v>
      </c>
      <c r="E6">
        <f>COUNTIFS(Refs[Impulse],Table5[Activity],Refs[Rows],"&gt;1",Refs[Include],1)</f>
        <v>0</v>
      </c>
    </row>
    <row r="7" spans="1:5" x14ac:dyDescent="0.25">
      <c r="A7" s="6" t="s">
        <v>197</v>
      </c>
      <c r="B7" s="6">
        <f>COUNTIFS(Refs[Impulse],Table5[Activity],Refs[Relevant],1)</f>
        <v>1</v>
      </c>
      <c r="C7">
        <f>COUNTIFS(Refs[Impulse],Table5[Activity],Refs[Rows],"&gt;0",Refs[Include],1)</f>
        <v>0</v>
      </c>
      <c r="D7">
        <f>COUNTIFS(Refs[Impulse],Table5[Activity],Refs[Rows],1,Refs[Include],1)</f>
        <v>0</v>
      </c>
      <c r="E7">
        <f>COUNTIFS(Refs[Impulse],Table5[Activity],Refs[Rows],"&gt;1",Refs[Include],1)</f>
        <v>0</v>
      </c>
    </row>
    <row r="8" spans="1:5" x14ac:dyDescent="0.25">
      <c r="A8" s="6" t="s">
        <v>203</v>
      </c>
      <c r="B8" s="6">
        <f>COUNTIFS(Refs[Impulse],Table5[Activity],Refs[Relevant],1)</f>
        <v>2</v>
      </c>
      <c r="C8">
        <f>COUNTIFS(Refs[Impulse],Table5[Activity],Refs[Rows],"&gt;0",Refs[Include],1)</f>
        <v>1</v>
      </c>
      <c r="D8">
        <f>COUNTIFS(Refs[Impulse],Table5[Activity],Refs[Rows],1,Refs[Include],1)</f>
        <v>0</v>
      </c>
      <c r="E8">
        <f>COUNTIFS(Refs[Impulse],Table5[Activity],Refs[Rows],"&gt;1",Refs[Include],1)</f>
        <v>1</v>
      </c>
    </row>
    <row r="9" spans="1:5" x14ac:dyDescent="0.25">
      <c r="A9" s="6" t="s">
        <v>204</v>
      </c>
      <c r="B9" s="6">
        <f>COUNTIFS(Refs[Impulse],Table5[Activity],Refs[Relevant],1)</f>
        <v>1</v>
      </c>
      <c r="C9">
        <f>COUNTIFS(Refs[Impulse],Table5[Activity],Refs[Rows],"&gt;0",Refs[Include],1)</f>
        <v>1</v>
      </c>
      <c r="D9">
        <f>COUNTIFS(Refs[Impulse],Table5[Activity],Refs[Rows],1,Refs[Include],1)</f>
        <v>1</v>
      </c>
      <c r="E9">
        <f>COUNTIFS(Refs[Impulse],Table5[Activity],Refs[Rows],"&gt;1",Refs[Include],1)</f>
        <v>0</v>
      </c>
    </row>
    <row r="10" spans="1:5" x14ac:dyDescent="0.25">
      <c r="A10" s="6" t="s">
        <v>120</v>
      </c>
      <c r="B10" s="6">
        <f>COUNTIFS(Refs[Impulse],Table5[Activity],Refs[Relevant],1)</f>
        <v>1</v>
      </c>
      <c r="C10">
        <f>COUNTIFS(Refs[Impulse],Table5[Activity],Refs[Rows],"&gt;0",Refs[Include],1)</f>
        <v>1</v>
      </c>
      <c r="D10">
        <f>COUNTIFS(Refs[Impulse],Table5[Activity],Refs[Rows],1,Refs[Include],1)</f>
        <v>1</v>
      </c>
      <c r="E10">
        <f>COUNTIFS(Refs[Impulse],Table5[Activity],Refs[Rows],"&gt;1",Refs[Include],1)</f>
        <v>0</v>
      </c>
    </row>
    <row r="11" spans="1:5" x14ac:dyDescent="0.25">
      <c r="A11" s="6" t="s">
        <v>177</v>
      </c>
      <c r="B11" s="6">
        <f>COUNTIFS(Refs[Impulse],Table5[Activity],Refs[Relevant],1)</f>
        <v>1</v>
      </c>
      <c r="C11">
        <f>COUNTIFS(Refs[Impulse],Table5[Activity],Refs[Rows],"&gt;0",Refs[Include],1)</f>
        <v>0</v>
      </c>
      <c r="D11">
        <f>COUNTIFS(Refs[Impulse],Table5[Activity],Refs[Rows],1,Refs[Include],1)</f>
        <v>0</v>
      </c>
      <c r="E11">
        <f>COUNTIFS(Refs[Impulse],Table5[Activity],Refs[Rows],"&gt;1",Refs[Include],1)</f>
        <v>0</v>
      </c>
    </row>
    <row r="12" spans="1:5" x14ac:dyDescent="0.25">
      <c r="A12" s="6" t="s">
        <v>205</v>
      </c>
      <c r="B12" s="6">
        <f>COUNTIFS(Refs[Impulse],Table5[Activity],Refs[Relevant],1)</f>
        <v>1</v>
      </c>
      <c r="C12">
        <f>COUNTIFS(Refs[Impulse],Table5[Activity],Refs[Rows],"&gt;0",Refs[Include],1)</f>
        <v>0</v>
      </c>
      <c r="D12">
        <f>COUNTIFS(Refs[Impulse],Table5[Activity],Refs[Rows],1,Refs[Include],1)</f>
        <v>0</v>
      </c>
      <c r="E12">
        <f>COUNTIFS(Refs[Impulse],Table5[Activity],Refs[Rows],"&gt;1",Refs[Include],1)</f>
        <v>0</v>
      </c>
    </row>
    <row r="13" spans="1:5" x14ac:dyDescent="0.25">
      <c r="A13" s="6" t="s">
        <v>206</v>
      </c>
      <c r="B13" s="6">
        <f>COUNTIFS(Refs[Impulse],Table5[Activity],Refs[Relevant],1)</f>
        <v>0</v>
      </c>
      <c r="C13">
        <f>COUNTIFS(Refs[Impulse],Table5[Activity],Refs[Rows],"&gt;0",Refs[Include],1)</f>
        <v>0</v>
      </c>
      <c r="D13">
        <f>COUNTIFS(Refs[Impulse],Table5[Activity],Refs[Rows],1,Refs[Include],1)</f>
        <v>0</v>
      </c>
      <c r="E13">
        <f>COUNTIFS(Refs[Impulse],Table5[Activity],Refs[Rows],"&gt;1",Refs[Include],1)</f>
        <v>0</v>
      </c>
    </row>
    <row r="14" spans="1:5" x14ac:dyDescent="0.25">
      <c r="A14" s="6" t="s">
        <v>162</v>
      </c>
      <c r="B14" s="6">
        <f>COUNTIFS(Refs[Impulse],Table5[Activity],Refs[Relevant],1)</f>
        <v>0</v>
      </c>
      <c r="C14">
        <f>COUNTIFS(Refs[Impulse],Table5[Activity],Refs[Rows],"&gt;0",Refs[Include],1)</f>
        <v>0</v>
      </c>
      <c r="D14">
        <f>COUNTIFS(Refs[Impulse],Table5[Activity],Refs[Rows],1,Refs[Include],1)</f>
        <v>0</v>
      </c>
      <c r="E14">
        <f>COUNTIFS(Refs[Impulse],Table5[Activity],Refs[Rows],"&gt;1",Refs[Include],1)</f>
        <v>0</v>
      </c>
    </row>
    <row r="18" spans="1:2" x14ac:dyDescent="0.25">
      <c r="A18" s="14" t="s">
        <v>262</v>
      </c>
      <c r="B18" s="14" t="s">
        <v>266</v>
      </c>
    </row>
    <row r="19" spans="1:2" x14ac:dyDescent="0.25">
      <c r="A19" t="s">
        <v>142</v>
      </c>
      <c r="B19">
        <f>COUNTIFS(Refs[Response],Table6[Response],Refs[Relevant],1)</f>
        <v>28</v>
      </c>
    </row>
    <row r="20" spans="1:2" x14ac:dyDescent="0.25">
      <c r="A20" t="s">
        <v>265</v>
      </c>
      <c r="B20">
        <f>COUNTIFS(Refs[Response],Table6[Response],Refs[Relevant],1)</f>
        <v>2</v>
      </c>
    </row>
    <row r="21" spans="1:2" ht="30" x14ac:dyDescent="0.25">
      <c r="A21" s="7" t="s">
        <v>264</v>
      </c>
      <c r="B21">
        <f>COUNTIFS(Refs[Response],Table6[Response],Refs[Relevant],1)</f>
        <v>2</v>
      </c>
    </row>
    <row r="22" spans="1:2" x14ac:dyDescent="0.25">
      <c r="A22" t="s">
        <v>206</v>
      </c>
      <c r="B22">
        <f>COUNTIFS(Refs[Response],Table6[Response],Refs[Relevant],1)</f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39997558519241921"/>
  </sheetPr>
  <dimension ref="A1:C41"/>
  <sheetViews>
    <sheetView workbookViewId="0">
      <selection activeCell="F31" sqref="F31"/>
    </sheetView>
  </sheetViews>
  <sheetFormatPr defaultRowHeight="15" x14ac:dyDescent="0.25"/>
  <sheetData>
    <row r="1" spans="1:3" x14ac:dyDescent="0.25">
      <c r="A1" t="s">
        <v>94</v>
      </c>
      <c r="B1" t="s">
        <v>93</v>
      </c>
      <c r="C1" t="s">
        <v>95</v>
      </c>
    </row>
    <row r="2" spans="1:3" x14ac:dyDescent="0.25">
      <c r="A2" s="1">
        <v>1</v>
      </c>
      <c r="B2" s="1">
        <v>2.29</v>
      </c>
      <c r="C2" s="1">
        <v>2.17</v>
      </c>
    </row>
    <row r="3" spans="1:3" x14ac:dyDescent="0.25">
      <c r="A3" s="1">
        <v>2</v>
      </c>
      <c r="B3" s="1">
        <v>2.5499999999999998</v>
      </c>
      <c r="C3" s="1">
        <v>2.68</v>
      </c>
    </row>
    <row r="4" spans="1:3" x14ac:dyDescent="0.25">
      <c r="A4" s="1">
        <v>3</v>
      </c>
      <c r="B4" s="1">
        <v>2.77</v>
      </c>
      <c r="C4" s="1">
        <v>3.36</v>
      </c>
    </row>
    <row r="5" spans="1:3" x14ac:dyDescent="0.25">
      <c r="A5" s="1">
        <v>4</v>
      </c>
      <c r="B5" s="1">
        <v>2.36</v>
      </c>
      <c r="C5" s="1">
        <v>2.4700000000000002</v>
      </c>
    </row>
    <row r="6" spans="1:3" x14ac:dyDescent="0.25">
      <c r="A6" s="1">
        <v>5</v>
      </c>
      <c r="B6" s="1">
        <v>2.99</v>
      </c>
      <c r="C6" s="1">
        <v>3.28</v>
      </c>
    </row>
    <row r="7" spans="1:3" x14ac:dyDescent="0.25">
      <c r="A7" s="1">
        <v>6</v>
      </c>
      <c r="B7" s="1">
        <v>3.77</v>
      </c>
      <c r="C7" s="1">
        <v>3.07</v>
      </c>
    </row>
    <row r="8" spans="1:3" x14ac:dyDescent="0.25">
      <c r="A8" s="1">
        <v>7</v>
      </c>
      <c r="B8" s="1">
        <v>3.79</v>
      </c>
      <c r="C8" s="1">
        <v>3.65</v>
      </c>
    </row>
    <row r="9" spans="1:3" x14ac:dyDescent="0.25">
      <c r="A9" s="1">
        <v>8</v>
      </c>
      <c r="B9" s="1">
        <v>3.19</v>
      </c>
      <c r="C9" s="1">
        <v>3.65</v>
      </c>
    </row>
    <row r="10" spans="1:3" x14ac:dyDescent="0.25">
      <c r="A10" s="1">
        <v>9</v>
      </c>
      <c r="B10" s="1">
        <v>2.52</v>
      </c>
      <c r="C10" s="1">
        <v>3.24</v>
      </c>
    </row>
    <row r="11" spans="1:3" x14ac:dyDescent="0.25">
      <c r="A11" s="1">
        <v>10</v>
      </c>
      <c r="B11" s="1">
        <v>2.36</v>
      </c>
      <c r="C11" s="1">
        <v>2.85</v>
      </c>
    </row>
    <row r="12" spans="1:3" x14ac:dyDescent="0.25">
      <c r="A12" s="1">
        <v>11</v>
      </c>
      <c r="B12" s="1">
        <v>2.33</v>
      </c>
      <c r="C12" s="1">
        <v>2.81</v>
      </c>
    </row>
    <row r="13" spans="1:3" x14ac:dyDescent="0.25">
      <c r="A13" s="1">
        <v>12</v>
      </c>
      <c r="B13" s="1">
        <v>2.4300000000000002</v>
      </c>
      <c r="C13" s="1">
        <v>2.3199999999999998</v>
      </c>
    </row>
    <row r="14" spans="1:3" x14ac:dyDescent="0.25">
      <c r="A14" s="1">
        <v>13</v>
      </c>
      <c r="B14" s="1">
        <v>1.7</v>
      </c>
      <c r="C14" s="1">
        <v>2.37</v>
      </c>
    </row>
    <row r="15" spans="1:3" x14ac:dyDescent="0.25">
      <c r="A15" s="1">
        <v>14</v>
      </c>
      <c r="B15" s="1">
        <v>1.95</v>
      </c>
      <c r="C15" s="1">
        <v>2.63</v>
      </c>
    </row>
    <row r="16" spans="1:3" x14ac:dyDescent="0.25">
      <c r="A16" s="1">
        <v>15</v>
      </c>
      <c r="B16" s="1">
        <v>2.4500000000000002</v>
      </c>
      <c r="C16" s="1">
        <v>3.1</v>
      </c>
    </row>
    <row r="17" spans="1:3" x14ac:dyDescent="0.25">
      <c r="A17" s="1">
        <v>16</v>
      </c>
      <c r="B17" s="1">
        <v>2.77</v>
      </c>
      <c r="C17" s="1">
        <v>3.76</v>
      </c>
    </row>
    <row r="18" spans="1:3" x14ac:dyDescent="0.25">
      <c r="A18" s="1">
        <v>17</v>
      </c>
      <c r="B18" s="1">
        <v>1.63</v>
      </c>
      <c r="C18" s="1">
        <v>2.87</v>
      </c>
    </row>
    <row r="19" spans="1:3" x14ac:dyDescent="0.25">
      <c r="A19" s="1">
        <v>18</v>
      </c>
      <c r="B19" s="1">
        <v>2.39</v>
      </c>
      <c r="C19" s="1">
        <v>2.15</v>
      </c>
    </row>
    <row r="20" spans="1:3" x14ac:dyDescent="0.25">
      <c r="A20" s="1">
        <v>19</v>
      </c>
      <c r="B20" s="1">
        <v>1.45</v>
      </c>
      <c r="C20" s="1">
        <v>2.4700000000000002</v>
      </c>
    </row>
    <row r="21" spans="1:3" x14ac:dyDescent="0.25">
      <c r="A21" s="1">
        <v>20</v>
      </c>
      <c r="B21" s="1">
        <v>2.48</v>
      </c>
      <c r="C21" s="1">
        <v>3.07</v>
      </c>
    </row>
    <row r="22" spans="1:3" x14ac:dyDescent="0.25">
      <c r="A22" s="1">
        <v>21</v>
      </c>
      <c r="B22" s="1">
        <v>2.02</v>
      </c>
      <c r="C22" s="1">
        <v>2.35</v>
      </c>
    </row>
    <row r="23" spans="1:3" x14ac:dyDescent="0.25">
      <c r="A23" s="1">
        <v>22</v>
      </c>
      <c r="B23" s="1">
        <v>2.2400000000000002</v>
      </c>
      <c r="C23" s="1">
        <v>3.12</v>
      </c>
    </row>
    <row r="24" spans="1:3" x14ac:dyDescent="0.25">
      <c r="A24" s="1">
        <v>23</v>
      </c>
      <c r="B24" s="1">
        <v>3.6</v>
      </c>
      <c r="C24" s="1">
        <v>3.51</v>
      </c>
    </row>
    <row r="25" spans="1:3" x14ac:dyDescent="0.25">
      <c r="A25" s="1">
        <v>24</v>
      </c>
      <c r="B25" s="1">
        <v>1.96</v>
      </c>
      <c r="C25" s="1">
        <v>2.96</v>
      </c>
    </row>
    <row r="26" spans="1:3" x14ac:dyDescent="0.25">
      <c r="A26" s="1">
        <v>25</v>
      </c>
      <c r="B26" s="1">
        <v>1.72</v>
      </c>
      <c r="C26" s="1">
        <v>3.19</v>
      </c>
    </row>
    <row r="27" spans="1:3" x14ac:dyDescent="0.25">
      <c r="A27" s="1">
        <v>26</v>
      </c>
      <c r="B27" s="1">
        <v>1.9</v>
      </c>
      <c r="C27" s="1">
        <v>3.1</v>
      </c>
    </row>
    <row r="28" spans="1:3" x14ac:dyDescent="0.25">
      <c r="A28" s="1">
        <v>27</v>
      </c>
      <c r="B28" s="1">
        <v>1.72</v>
      </c>
      <c r="C28" s="1">
        <v>2.37</v>
      </c>
    </row>
    <row r="29" spans="1:3" x14ac:dyDescent="0.25">
      <c r="A29" s="1">
        <v>28</v>
      </c>
      <c r="B29" s="1">
        <v>1.62</v>
      </c>
      <c r="C29" s="1">
        <v>3.06</v>
      </c>
    </row>
    <row r="30" spans="1:3" x14ac:dyDescent="0.25">
      <c r="A30" s="1">
        <v>29</v>
      </c>
      <c r="B30" s="1">
        <v>2.54</v>
      </c>
      <c r="C30" s="1">
        <v>3.54</v>
      </c>
    </row>
    <row r="31" spans="1:3" x14ac:dyDescent="0.25">
      <c r="A31" s="1">
        <v>30</v>
      </c>
      <c r="B31" s="1">
        <v>1.62</v>
      </c>
      <c r="C31" s="1">
        <v>2.62</v>
      </c>
    </row>
    <row r="32" spans="1:3" x14ac:dyDescent="0.25">
      <c r="A32" s="1">
        <v>31</v>
      </c>
      <c r="B32" s="1">
        <v>2.48</v>
      </c>
      <c r="C32" s="1">
        <v>2.96</v>
      </c>
    </row>
    <row r="33" spans="1:3" x14ac:dyDescent="0.25">
      <c r="A33" s="1">
        <v>32</v>
      </c>
      <c r="B33" s="1">
        <v>1.65</v>
      </c>
      <c r="C33" s="1">
        <v>2.5499999999999998</v>
      </c>
    </row>
    <row r="34" spans="1:3" x14ac:dyDescent="0.25">
      <c r="A34" s="1">
        <v>33</v>
      </c>
      <c r="B34" s="1">
        <v>1.57</v>
      </c>
      <c r="C34" s="1">
        <v>1.92</v>
      </c>
    </row>
    <row r="35" spans="1:3" x14ac:dyDescent="0.25">
      <c r="A35" s="1">
        <v>34</v>
      </c>
      <c r="B35" s="1">
        <v>3.06</v>
      </c>
      <c r="C35" s="1">
        <v>2.93</v>
      </c>
    </row>
    <row r="36" spans="1:3" x14ac:dyDescent="0.25">
      <c r="A36" s="1">
        <v>35</v>
      </c>
      <c r="B36" s="1">
        <v>1.47</v>
      </c>
      <c r="C36" s="1">
        <v>3.72</v>
      </c>
    </row>
    <row r="37" spans="1:3" x14ac:dyDescent="0.25">
      <c r="A37" s="1">
        <v>36</v>
      </c>
      <c r="B37" s="1">
        <v>2.97</v>
      </c>
      <c r="C37" s="1">
        <v>3.87</v>
      </c>
    </row>
    <row r="38" spans="1:3" x14ac:dyDescent="0.25">
      <c r="A38" s="1">
        <v>37</v>
      </c>
      <c r="B38" s="1">
        <v>1.84</v>
      </c>
      <c r="C38" s="1">
        <v>3.18</v>
      </c>
    </row>
    <row r="39" spans="1:3" x14ac:dyDescent="0.25">
      <c r="A39" s="1">
        <v>38</v>
      </c>
      <c r="B39" s="1">
        <v>1.6</v>
      </c>
      <c r="C39" s="1">
        <v>2.14</v>
      </c>
    </row>
    <row r="40" spans="1:3" x14ac:dyDescent="0.25">
      <c r="A40" s="1">
        <v>39</v>
      </c>
      <c r="B40" s="1">
        <v>1.91</v>
      </c>
      <c r="C40" s="1">
        <v>3.51</v>
      </c>
    </row>
    <row r="41" spans="1:3" x14ac:dyDescent="0.25">
      <c r="A41" s="1">
        <v>40</v>
      </c>
      <c r="B41" s="1">
        <v>1.0900000000000001</v>
      </c>
      <c r="C41" s="1">
        <v>2.7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39997558519241921"/>
  </sheetPr>
  <dimension ref="A1:M25"/>
  <sheetViews>
    <sheetView zoomScale="85" zoomScaleNormal="85" workbookViewId="0">
      <selection activeCell="F31" sqref="F31"/>
    </sheetView>
  </sheetViews>
  <sheetFormatPr defaultRowHeight="15" x14ac:dyDescent="0.25"/>
  <cols>
    <col min="3" max="3" width="11" customWidth="1"/>
    <col min="6" max="6" width="11" customWidth="1"/>
    <col min="9" max="9" width="11" customWidth="1"/>
    <col min="12" max="12" width="11" customWidth="1"/>
  </cols>
  <sheetData>
    <row r="1" spans="1:13" x14ac:dyDescent="0.25">
      <c r="A1" t="s">
        <v>129</v>
      </c>
      <c r="B1" t="s">
        <v>130</v>
      </c>
      <c r="C1" t="s">
        <v>141</v>
      </c>
      <c r="D1" t="s">
        <v>134</v>
      </c>
      <c r="E1" t="s">
        <v>131</v>
      </c>
      <c r="F1" t="s">
        <v>140</v>
      </c>
      <c r="G1" t="s">
        <v>135</v>
      </c>
      <c r="H1" t="s">
        <v>132</v>
      </c>
      <c r="I1" t="s">
        <v>138</v>
      </c>
      <c r="J1" t="s">
        <v>136</v>
      </c>
      <c r="K1" t="s">
        <v>133</v>
      </c>
      <c r="L1" t="s">
        <v>139</v>
      </c>
      <c r="M1" t="s">
        <v>137</v>
      </c>
    </row>
    <row r="2" spans="1:13" x14ac:dyDescent="0.25">
      <c r="A2">
        <v>1</v>
      </c>
      <c r="B2">
        <v>37.856300000000005</v>
      </c>
      <c r="C2">
        <v>42.236100000000008</v>
      </c>
      <c r="D2">
        <f>C2-B2</f>
        <v>4.379800000000003</v>
      </c>
      <c r="E2">
        <v>4.3855000000000004</v>
      </c>
      <c r="F2">
        <v>7.3458000000000006</v>
      </c>
      <c r="G2">
        <f>F2-E2</f>
        <v>2.9603000000000002</v>
      </c>
      <c r="H2">
        <v>2.4136400000000002E-2</v>
      </c>
      <c r="I2">
        <v>3.2008200000000001E-2</v>
      </c>
      <c r="J2">
        <f>I2-H2</f>
        <v>7.8717999999999982E-3</v>
      </c>
      <c r="K2">
        <v>1.9703599999999998E-2</v>
      </c>
      <c r="L2">
        <v>2.90686E-2</v>
      </c>
      <c r="M2">
        <f>L2-K2</f>
        <v>9.3650000000000018E-3</v>
      </c>
    </row>
    <row r="3" spans="1:13" x14ac:dyDescent="0.25">
      <c r="A3">
        <v>2</v>
      </c>
      <c r="B3">
        <v>39.510899999999999</v>
      </c>
      <c r="C3">
        <v>45.642600000000002</v>
      </c>
      <c r="D3">
        <f t="shared" ref="D3:D11" si="0">C3-B3</f>
        <v>6.1317000000000021</v>
      </c>
      <c r="E3">
        <v>5.8838999999999997</v>
      </c>
      <c r="F3">
        <v>9.9405999999999999</v>
      </c>
      <c r="G3">
        <f t="shared" ref="G3:G15" si="1">F3-E3</f>
        <v>4.0567000000000002</v>
      </c>
      <c r="H3">
        <v>2.1358099999999998E-2</v>
      </c>
      <c r="I3">
        <v>2.6385500000000003E-2</v>
      </c>
      <c r="J3">
        <f t="shared" ref="J3:J15" si="2">I3-H3</f>
        <v>5.0274000000000048E-3</v>
      </c>
      <c r="K3">
        <v>1.82189E-2</v>
      </c>
      <c r="L3">
        <v>2.4728699999999999E-2</v>
      </c>
      <c r="M3">
        <f t="shared" ref="M3:M14" si="3">L3-K3</f>
        <v>6.5097999999999996E-3</v>
      </c>
    </row>
    <row r="4" spans="1:13" x14ac:dyDescent="0.25">
      <c r="A4">
        <v>3</v>
      </c>
      <c r="B4">
        <v>43.890599999999992</v>
      </c>
      <c r="C4">
        <v>48.36780000000001</v>
      </c>
      <c r="D4">
        <f t="shared" si="0"/>
        <v>4.4772000000000176</v>
      </c>
      <c r="E4">
        <v>8.2228999999999992</v>
      </c>
      <c r="F4">
        <v>10.196400000000001</v>
      </c>
      <c r="G4">
        <f t="shared" si="1"/>
        <v>1.9735000000000014</v>
      </c>
      <c r="H4">
        <v>2.2416500000000002E-2</v>
      </c>
      <c r="I4">
        <v>2.5724E-2</v>
      </c>
      <c r="J4">
        <f t="shared" si="2"/>
        <v>3.3074999999999979E-3</v>
      </c>
      <c r="K4">
        <v>1.73052E-2</v>
      </c>
      <c r="L4">
        <v>2.23304E-2</v>
      </c>
      <c r="M4">
        <f t="shared" si="3"/>
        <v>5.0252000000000005E-3</v>
      </c>
    </row>
    <row r="5" spans="1:13" x14ac:dyDescent="0.25">
      <c r="A5">
        <v>4</v>
      </c>
      <c r="B5">
        <v>52.552900000000001</v>
      </c>
      <c r="C5">
        <v>56.640699999999995</v>
      </c>
      <c r="D5">
        <f t="shared" si="0"/>
        <v>4.0877999999999943</v>
      </c>
      <c r="E5">
        <v>11.4755</v>
      </c>
      <c r="F5">
        <v>14.3627</v>
      </c>
      <c r="G5">
        <f t="shared" si="1"/>
        <v>2.8872</v>
      </c>
      <c r="H5">
        <v>2.8105399999999999E-2</v>
      </c>
      <c r="I5">
        <v>3.2272800000000004E-2</v>
      </c>
      <c r="J5">
        <f t="shared" si="2"/>
        <v>4.1674000000000051E-3</v>
      </c>
      <c r="K5">
        <v>2.4271899999999999E-2</v>
      </c>
      <c r="L5">
        <v>2.90686E-2</v>
      </c>
      <c r="M5">
        <f t="shared" si="3"/>
        <v>4.796700000000001E-3</v>
      </c>
    </row>
    <row r="6" spans="1:13" x14ac:dyDescent="0.25">
      <c r="A6">
        <v>5</v>
      </c>
      <c r="B6">
        <v>44.863899999999994</v>
      </c>
      <c r="C6">
        <v>50.216999999999999</v>
      </c>
      <c r="D6">
        <f t="shared" si="0"/>
        <v>5.3531000000000049</v>
      </c>
      <c r="E6">
        <v>11.073499999999999</v>
      </c>
      <c r="F6">
        <v>14.435799999999999</v>
      </c>
      <c r="G6">
        <f t="shared" si="1"/>
        <v>3.3622999999999994</v>
      </c>
      <c r="H6">
        <v>2.3805699999999996E-2</v>
      </c>
      <c r="I6">
        <v>2.6517799999999998E-2</v>
      </c>
      <c r="J6">
        <f t="shared" si="2"/>
        <v>2.712100000000002E-3</v>
      </c>
      <c r="K6">
        <v>2.2673000000000002E-2</v>
      </c>
      <c r="L6">
        <v>2.5756599999999998E-2</v>
      </c>
      <c r="M6">
        <f t="shared" si="3"/>
        <v>3.0835999999999954E-3</v>
      </c>
    </row>
    <row r="7" spans="1:13" x14ac:dyDescent="0.25">
      <c r="A7">
        <v>6</v>
      </c>
      <c r="B7">
        <v>39.121600000000001</v>
      </c>
      <c r="C7">
        <v>43.306699999999999</v>
      </c>
      <c r="D7">
        <f t="shared" si="0"/>
        <v>4.1850999999999985</v>
      </c>
      <c r="E7">
        <v>7.7842999999999991</v>
      </c>
      <c r="F7">
        <v>10.452199999999999</v>
      </c>
      <c r="G7">
        <f t="shared" si="1"/>
        <v>2.6679000000000004</v>
      </c>
      <c r="H7">
        <v>2.1556599999999999E-2</v>
      </c>
      <c r="I7">
        <v>2.4268699999999997E-2</v>
      </c>
      <c r="J7">
        <f t="shared" si="2"/>
        <v>2.7120999999999985E-3</v>
      </c>
      <c r="K7">
        <v>2.07315E-2</v>
      </c>
      <c r="L7">
        <v>2.4728699999999999E-2</v>
      </c>
      <c r="M7">
        <f t="shared" si="3"/>
        <v>3.9971999999999994E-3</v>
      </c>
    </row>
    <row r="8" spans="1:13" x14ac:dyDescent="0.25">
      <c r="A8">
        <v>7</v>
      </c>
      <c r="B8">
        <v>40.581499999999998</v>
      </c>
      <c r="C8">
        <v>45.545200000000001</v>
      </c>
      <c r="D8">
        <f t="shared" si="0"/>
        <v>4.9637000000000029</v>
      </c>
      <c r="E8">
        <v>5.5185000000000004</v>
      </c>
      <c r="F8">
        <v>8.3690999999999995</v>
      </c>
      <c r="G8">
        <f t="shared" si="1"/>
        <v>2.8505999999999991</v>
      </c>
      <c r="H8">
        <v>2.2350399999999999E-2</v>
      </c>
      <c r="I8">
        <v>2.6980900000000002E-2</v>
      </c>
      <c r="J8">
        <f t="shared" si="2"/>
        <v>4.6305000000000027E-3</v>
      </c>
      <c r="K8">
        <v>1.9361E-2</v>
      </c>
      <c r="L8">
        <v>2.4842900000000001E-2</v>
      </c>
      <c r="M8">
        <f t="shared" si="3"/>
        <v>5.4819000000000014E-3</v>
      </c>
    </row>
    <row r="9" spans="1:13" x14ac:dyDescent="0.25">
      <c r="A9">
        <v>8</v>
      </c>
      <c r="B9">
        <v>37.272300000000001</v>
      </c>
      <c r="C9">
        <v>42.528099999999995</v>
      </c>
      <c r="D9">
        <f t="shared" si="0"/>
        <v>5.2557999999999936</v>
      </c>
      <c r="E9">
        <v>5.0434000000000001</v>
      </c>
      <c r="F9">
        <v>7.6382000000000003</v>
      </c>
      <c r="G9">
        <f t="shared" si="1"/>
        <v>2.5948000000000002</v>
      </c>
      <c r="H9">
        <v>2.0101300000000002E-2</v>
      </c>
      <c r="I9">
        <v>2.1887300000000002E-2</v>
      </c>
      <c r="J9">
        <f t="shared" si="2"/>
        <v>1.7859999999999994E-3</v>
      </c>
      <c r="K9">
        <v>1.6391599999999999E-2</v>
      </c>
      <c r="L9">
        <v>2.14167E-2</v>
      </c>
      <c r="M9">
        <f t="shared" si="3"/>
        <v>5.0251000000000011E-3</v>
      </c>
    </row>
    <row r="10" spans="1:13" x14ac:dyDescent="0.25">
      <c r="A10">
        <v>9</v>
      </c>
      <c r="B10">
        <v>34.936400000000006</v>
      </c>
      <c r="C10">
        <v>39.705500000000001</v>
      </c>
      <c r="D10">
        <f t="shared" si="0"/>
        <v>4.7690999999999946</v>
      </c>
      <c r="E10">
        <v>4.3124000000000002</v>
      </c>
      <c r="F10">
        <v>5.3723000000000001</v>
      </c>
      <c r="G10">
        <f t="shared" si="1"/>
        <v>1.0598999999999998</v>
      </c>
      <c r="H10">
        <v>2.0101300000000002E-2</v>
      </c>
      <c r="I10">
        <v>2.1622699999999998E-2</v>
      </c>
      <c r="J10">
        <f t="shared" si="2"/>
        <v>1.5213999999999957E-3</v>
      </c>
      <c r="K10">
        <v>2.2901399999999999E-2</v>
      </c>
      <c r="L10">
        <v>2.6898699999999998E-2</v>
      </c>
      <c r="M10">
        <f t="shared" si="3"/>
        <v>3.9972999999999988E-3</v>
      </c>
    </row>
    <row r="11" spans="1:13" x14ac:dyDescent="0.25">
      <c r="A11">
        <v>10</v>
      </c>
      <c r="B11">
        <v>33.1845</v>
      </c>
      <c r="C11">
        <v>35.325800000000001</v>
      </c>
      <c r="D11">
        <f t="shared" si="0"/>
        <v>2.1413000000000011</v>
      </c>
      <c r="E11">
        <v>3.3622000000000001</v>
      </c>
      <c r="F11">
        <v>4.2027999999999999</v>
      </c>
      <c r="G11">
        <f t="shared" si="1"/>
        <v>0.84059999999999979</v>
      </c>
      <c r="H11">
        <v>2.2350399999999999E-2</v>
      </c>
      <c r="I11">
        <v>2.3474899999999996E-2</v>
      </c>
      <c r="J11">
        <f t="shared" si="2"/>
        <v>1.124499999999997E-3</v>
      </c>
      <c r="K11">
        <v>3.1581199999999997E-2</v>
      </c>
      <c r="L11">
        <v>3.4550500000000005E-2</v>
      </c>
      <c r="M11">
        <f t="shared" si="3"/>
        <v>2.969300000000008E-3</v>
      </c>
    </row>
    <row r="12" spans="1:13" x14ac:dyDescent="0.25">
      <c r="A12">
        <v>11</v>
      </c>
      <c r="B12">
        <v>31.140599999999999</v>
      </c>
      <c r="C12">
        <v>31.724599999999999</v>
      </c>
      <c r="D12">
        <v>0</v>
      </c>
      <c r="E12">
        <v>3.6912000000000003</v>
      </c>
      <c r="F12">
        <v>4.2759</v>
      </c>
      <c r="G12">
        <f t="shared" si="1"/>
        <v>0.58469999999999978</v>
      </c>
      <c r="H12">
        <v>2.5260999999999999E-2</v>
      </c>
      <c r="I12">
        <v>2.6716300000000002E-2</v>
      </c>
      <c r="J12">
        <f t="shared" si="2"/>
        <v>1.4553000000000031E-3</v>
      </c>
      <c r="K12">
        <v>3.8433599999999998E-2</v>
      </c>
      <c r="L12">
        <v>4.0946200000000002E-2</v>
      </c>
      <c r="M12">
        <f t="shared" si="3"/>
        <v>2.5126000000000037E-3</v>
      </c>
    </row>
    <row r="13" spans="1:13" x14ac:dyDescent="0.25">
      <c r="A13">
        <v>12</v>
      </c>
      <c r="B13">
        <v>30.361999999999998</v>
      </c>
      <c r="C13">
        <v>30.556699999999999</v>
      </c>
      <c r="D13">
        <v>0</v>
      </c>
      <c r="E13">
        <v>5.1896000000000004</v>
      </c>
      <c r="F13">
        <v>5.7012</v>
      </c>
      <c r="G13">
        <f t="shared" si="1"/>
        <v>0.51159999999999961</v>
      </c>
      <c r="H13">
        <v>2.6914700000000003E-2</v>
      </c>
      <c r="I13">
        <v>2.8369999999999999E-2</v>
      </c>
      <c r="J13">
        <f t="shared" si="2"/>
        <v>1.4552999999999962E-3</v>
      </c>
      <c r="K13">
        <v>3.7177300000000003E-2</v>
      </c>
      <c r="L13">
        <v>3.9461500000000004E-2</v>
      </c>
      <c r="M13">
        <f t="shared" si="3"/>
        <v>2.2842000000000001E-3</v>
      </c>
    </row>
    <row r="14" spans="1:13" x14ac:dyDescent="0.25">
      <c r="A14">
        <v>13</v>
      </c>
      <c r="B14">
        <v>30.556699999999999</v>
      </c>
      <c r="C14">
        <v>30.654</v>
      </c>
      <c r="D14">
        <v>0</v>
      </c>
      <c r="E14">
        <v>7.2726999999999995</v>
      </c>
      <c r="F14">
        <v>7.8574000000000002</v>
      </c>
      <c r="G14">
        <f t="shared" si="1"/>
        <v>0.58470000000000066</v>
      </c>
      <c r="H14">
        <v>2.1093499999999998E-2</v>
      </c>
      <c r="I14">
        <v>2.20196E-2</v>
      </c>
      <c r="J14">
        <f t="shared" si="2"/>
        <v>9.2610000000000262E-4</v>
      </c>
      <c r="K14">
        <v>2.0617199999999999E-2</v>
      </c>
      <c r="L14">
        <v>2.2864200000000001E-2</v>
      </c>
      <c r="M14">
        <f t="shared" si="3"/>
        <v>2.2470000000000025E-3</v>
      </c>
    </row>
    <row r="15" spans="1:13" x14ac:dyDescent="0.25">
      <c r="A15">
        <v>14</v>
      </c>
      <c r="B15">
        <v>30.459300000000002</v>
      </c>
      <c r="C15">
        <v>30.556699999999999</v>
      </c>
      <c r="D15">
        <v>0</v>
      </c>
      <c r="E15">
        <v>8.3690999999999995</v>
      </c>
      <c r="F15">
        <v>9.1365999999999996</v>
      </c>
      <c r="G15">
        <f t="shared" si="1"/>
        <v>0.76750000000000007</v>
      </c>
      <c r="H15">
        <v>2.0762799999999998E-2</v>
      </c>
      <c r="I15">
        <v>2.1953500000000001E-2</v>
      </c>
      <c r="J15">
        <f t="shared" si="2"/>
        <v>1.1907000000000029E-3</v>
      </c>
      <c r="K15">
        <v>1.95894E-2</v>
      </c>
      <c r="L15">
        <v>2.1607899999999999E-2</v>
      </c>
      <c r="M15">
        <f>L15-K15</f>
        <v>2.0184999999999995E-3</v>
      </c>
    </row>
    <row r="16" spans="1:13" x14ac:dyDescent="0.25">
      <c r="H16">
        <f t="array" ref="H16">AVERAGE(K2:K15/H2:H15)</f>
        <v>1.0197687454943101</v>
      </c>
      <c r="K16">
        <f>H15*H16</f>
        <v>2.117325450894926E-2</v>
      </c>
    </row>
    <row r="17" spans="1:8" x14ac:dyDescent="0.25">
      <c r="H17">
        <f t="array" ref="H17">STDEV(K2:K15/I2:I15)</f>
        <v>0.26834746470937476</v>
      </c>
    </row>
    <row r="18" spans="1:8" x14ac:dyDescent="0.25">
      <c r="A18" t="s">
        <v>142</v>
      </c>
    </row>
    <row r="19" spans="1:8" x14ac:dyDescent="0.25">
      <c r="A19" t="s">
        <v>143</v>
      </c>
      <c r="B19" t="s">
        <v>148</v>
      </c>
      <c r="C19" t="s">
        <v>149</v>
      </c>
      <c r="D19" t="s">
        <v>150</v>
      </c>
      <c r="E19" t="s">
        <v>198</v>
      </c>
      <c r="F19" t="s">
        <v>148</v>
      </c>
      <c r="G19" t="s">
        <v>149</v>
      </c>
      <c r="H19" t="s">
        <v>150</v>
      </c>
    </row>
    <row r="20" spans="1:8" x14ac:dyDescent="0.25">
      <c r="A20" t="s">
        <v>38</v>
      </c>
      <c r="B20">
        <f>6.691</f>
        <v>6.6909999999999998</v>
      </c>
      <c r="C20">
        <f>3.905</f>
        <v>3.9049999999999998</v>
      </c>
      <c r="D20">
        <f>98.252</f>
        <v>98.251999999999995</v>
      </c>
      <c r="E20">
        <v>320</v>
      </c>
      <c r="F20">
        <f t="shared" ref="F20:F25" si="4">$E20+B20</f>
        <v>326.69099999999997</v>
      </c>
      <c r="G20">
        <f t="shared" ref="G20:G25" si="5">$E20+C20</f>
        <v>323.90499999999997</v>
      </c>
      <c r="H20">
        <f t="shared" ref="H20:H25" si="6">$E20+D20</f>
        <v>418.25200000000001</v>
      </c>
    </row>
    <row r="21" spans="1:8" x14ac:dyDescent="0.25">
      <c r="A21" t="s">
        <v>39</v>
      </c>
      <c r="B21">
        <v>10.984</v>
      </c>
      <c r="C21">
        <v>5.2210000000000001</v>
      </c>
      <c r="D21">
        <v>115.928</v>
      </c>
      <c r="E21">
        <v>240</v>
      </c>
      <c r="F21">
        <f t="shared" si="4"/>
        <v>250.98400000000001</v>
      </c>
      <c r="G21">
        <f t="shared" si="5"/>
        <v>245.221</v>
      </c>
      <c r="H21">
        <f t="shared" si="6"/>
        <v>355.928</v>
      </c>
    </row>
    <row r="22" spans="1:8" x14ac:dyDescent="0.25">
      <c r="A22" t="s">
        <v>144</v>
      </c>
      <c r="B22">
        <v>13.057</v>
      </c>
      <c r="C22">
        <v>8.2799999999999994</v>
      </c>
      <c r="D22">
        <v>106.369</v>
      </c>
      <c r="E22">
        <v>280</v>
      </c>
      <c r="F22">
        <f t="shared" si="4"/>
        <v>293.05700000000002</v>
      </c>
      <c r="G22">
        <f t="shared" si="5"/>
        <v>288.27999999999997</v>
      </c>
      <c r="H22">
        <f t="shared" si="6"/>
        <v>386.36900000000003</v>
      </c>
    </row>
    <row r="23" spans="1:8" x14ac:dyDescent="0.25">
      <c r="A23" t="s">
        <v>145</v>
      </c>
      <c r="B23">
        <v>19.645</v>
      </c>
      <c r="C23">
        <v>15.287000000000001</v>
      </c>
      <c r="D23">
        <v>100.771</v>
      </c>
      <c r="E23">
        <v>220</v>
      </c>
      <c r="F23">
        <f t="shared" si="4"/>
        <v>239.64500000000001</v>
      </c>
      <c r="G23">
        <f t="shared" si="5"/>
        <v>235.28700000000001</v>
      </c>
      <c r="H23">
        <f t="shared" si="6"/>
        <v>320.77100000000002</v>
      </c>
    </row>
    <row r="24" spans="1:8" x14ac:dyDescent="0.25">
      <c r="A24" t="s">
        <v>146</v>
      </c>
      <c r="B24">
        <v>20.172999999999998</v>
      </c>
      <c r="C24">
        <v>14.612</v>
      </c>
      <c r="D24">
        <v>98.025999999999996</v>
      </c>
      <c r="E24">
        <v>270</v>
      </c>
      <c r="F24">
        <f t="shared" si="4"/>
        <v>290.173</v>
      </c>
      <c r="G24">
        <f t="shared" si="5"/>
        <v>284.61200000000002</v>
      </c>
      <c r="H24">
        <f t="shared" si="6"/>
        <v>368.02600000000001</v>
      </c>
    </row>
    <row r="25" spans="1:8" x14ac:dyDescent="0.25">
      <c r="A25" t="s">
        <v>147</v>
      </c>
      <c r="B25">
        <v>16.167000000000002</v>
      </c>
      <c r="C25">
        <v>7.9420000000000002</v>
      </c>
      <c r="D25">
        <v>110.99</v>
      </c>
      <c r="E25">
        <v>210</v>
      </c>
      <c r="F25">
        <f t="shared" si="4"/>
        <v>226.167</v>
      </c>
      <c r="G25">
        <f t="shared" si="5"/>
        <v>217.94200000000001</v>
      </c>
      <c r="H25">
        <f t="shared" si="6"/>
        <v>320.99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0.39997558519241921"/>
  </sheetPr>
  <dimension ref="A1:J65"/>
  <sheetViews>
    <sheetView topLeftCell="A19" workbookViewId="0">
      <selection activeCell="F31" sqref="F31"/>
    </sheetView>
  </sheetViews>
  <sheetFormatPr defaultRowHeight="15" x14ac:dyDescent="0.25"/>
  <sheetData>
    <row r="1" spans="1:10" x14ac:dyDescent="0.25">
      <c r="A1" t="s">
        <v>209</v>
      </c>
      <c r="B1" t="s">
        <v>210</v>
      </c>
      <c r="G1" t="s">
        <v>211</v>
      </c>
    </row>
    <row r="2" spans="1:10" x14ac:dyDescent="0.25">
      <c r="A2">
        <v>1</v>
      </c>
      <c r="B2">
        <v>467.44200000000001</v>
      </c>
      <c r="G2" t="s">
        <v>212</v>
      </c>
      <c r="H2" t="s">
        <v>213</v>
      </c>
      <c r="I2" t="s">
        <v>214</v>
      </c>
      <c r="J2" t="s">
        <v>215</v>
      </c>
    </row>
    <row r="3" spans="1:10" x14ac:dyDescent="0.25">
      <c r="A3">
        <v>3</v>
      </c>
      <c r="B3">
        <v>459.07</v>
      </c>
      <c r="G3" t="s">
        <v>216</v>
      </c>
      <c r="H3">
        <v>68.84</v>
      </c>
      <c r="I3">
        <v>274.42</v>
      </c>
      <c r="J3" t="s">
        <v>217</v>
      </c>
    </row>
    <row r="4" spans="1:10" x14ac:dyDescent="0.25">
      <c r="A4">
        <v>6</v>
      </c>
      <c r="B4">
        <v>473.95299999999997</v>
      </c>
      <c r="G4" t="s">
        <v>218</v>
      </c>
      <c r="H4">
        <v>213.77</v>
      </c>
      <c r="I4">
        <v>190.7</v>
      </c>
      <c r="J4" t="s">
        <v>217</v>
      </c>
    </row>
    <row r="5" spans="1:10" x14ac:dyDescent="0.25">
      <c r="A5">
        <v>7</v>
      </c>
      <c r="B5">
        <v>445.34899999999999</v>
      </c>
      <c r="G5" t="s">
        <v>219</v>
      </c>
      <c r="H5">
        <v>420.29</v>
      </c>
      <c r="I5">
        <v>339.53</v>
      </c>
      <c r="J5" t="s">
        <v>217</v>
      </c>
    </row>
    <row r="6" spans="1:10" x14ac:dyDescent="0.25">
      <c r="A6">
        <v>10</v>
      </c>
      <c r="B6">
        <v>461.86</v>
      </c>
      <c r="G6" t="s">
        <v>220</v>
      </c>
      <c r="H6">
        <v>489.13</v>
      </c>
      <c r="I6">
        <v>53.49</v>
      </c>
      <c r="J6" t="s">
        <v>217</v>
      </c>
    </row>
    <row r="7" spans="1:10" x14ac:dyDescent="0.25">
      <c r="A7">
        <v>11</v>
      </c>
      <c r="B7">
        <v>462.55799999999999</v>
      </c>
      <c r="G7" t="s">
        <v>221</v>
      </c>
      <c r="H7">
        <v>695.65</v>
      </c>
      <c r="I7">
        <v>218.6</v>
      </c>
      <c r="J7" t="s">
        <v>217</v>
      </c>
    </row>
    <row r="8" spans="1:10" x14ac:dyDescent="0.25">
      <c r="A8">
        <v>12</v>
      </c>
      <c r="B8">
        <v>483.25599999999997</v>
      </c>
      <c r="G8" t="s">
        <v>222</v>
      </c>
      <c r="H8">
        <v>771.74</v>
      </c>
      <c r="I8">
        <v>225.58</v>
      </c>
      <c r="J8" t="s">
        <v>217</v>
      </c>
    </row>
    <row r="9" spans="1:10" x14ac:dyDescent="0.25">
      <c r="A9">
        <v>13</v>
      </c>
      <c r="B9">
        <v>483.02300000000002</v>
      </c>
      <c r="G9" t="s">
        <v>223</v>
      </c>
      <c r="H9">
        <v>833.33</v>
      </c>
      <c r="I9">
        <v>432.56</v>
      </c>
      <c r="J9" t="s">
        <v>217</v>
      </c>
    </row>
    <row r="10" spans="1:10" x14ac:dyDescent="0.25">
      <c r="A10">
        <v>15</v>
      </c>
      <c r="B10">
        <v>488.83699999999999</v>
      </c>
      <c r="G10" t="s">
        <v>224</v>
      </c>
      <c r="H10">
        <v>905.8</v>
      </c>
      <c r="I10">
        <v>430.23</v>
      </c>
      <c r="J10" t="s">
        <v>217</v>
      </c>
    </row>
    <row r="11" spans="1:10" x14ac:dyDescent="0.25">
      <c r="A11">
        <v>19</v>
      </c>
      <c r="B11">
        <v>519.30200000000002</v>
      </c>
      <c r="G11" t="s">
        <v>225</v>
      </c>
      <c r="H11">
        <v>1036.23</v>
      </c>
      <c r="I11">
        <v>488.37</v>
      </c>
      <c r="J11" t="s">
        <v>217</v>
      </c>
    </row>
    <row r="12" spans="1:10" x14ac:dyDescent="0.25">
      <c r="A12">
        <v>23</v>
      </c>
      <c r="B12">
        <v>523.25599999999997</v>
      </c>
      <c r="G12" t="s">
        <v>226</v>
      </c>
      <c r="H12">
        <v>1322.46</v>
      </c>
      <c r="I12">
        <v>793.02</v>
      </c>
      <c r="J12" t="s">
        <v>217</v>
      </c>
    </row>
    <row r="13" spans="1:10" x14ac:dyDescent="0.25">
      <c r="A13">
        <v>24</v>
      </c>
      <c r="B13">
        <v>496.97699999999998</v>
      </c>
      <c r="G13" t="s">
        <v>227</v>
      </c>
      <c r="H13">
        <v>1594.2</v>
      </c>
      <c r="I13">
        <v>832.56</v>
      </c>
      <c r="J13" t="s">
        <v>217</v>
      </c>
    </row>
    <row r="14" spans="1:10" x14ac:dyDescent="0.25">
      <c r="A14">
        <v>25</v>
      </c>
      <c r="B14">
        <v>538.60500000000002</v>
      </c>
      <c r="G14" t="s">
        <v>228</v>
      </c>
      <c r="H14">
        <v>1670.29</v>
      </c>
      <c r="I14">
        <v>569.77</v>
      </c>
      <c r="J14" t="s">
        <v>217</v>
      </c>
    </row>
    <row r="15" spans="1:10" x14ac:dyDescent="0.25">
      <c r="A15">
        <v>27</v>
      </c>
      <c r="B15">
        <v>519.30200000000002</v>
      </c>
      <c r="G15" t="s">
        <v>229</v>
      </c>
      <c r="H15">
        <v>1746.38</v>
      </c>
      <c r="I15">
        <v>986.05</v>
      </c>
      <c r="J15" t="s">
        <v>217</v>
      </c>
    </row>
    <row r="16" spans="1:10" x14ac:dyDescent="0.25">
      <c r="A16">
        <v>28</v>
      </c>
      <c r="B16">
        <v>519.07000000000005</v>
      </c>
      <c r="G16" t="s">
        <v>230</v>
      </c>
      <c r="H16">
        <v>1884.06</v>
      </c>
      <c r="I16">
        <v>793.02</v>
      </c>
      <c r="J16" t="s">
        <v>217</v>
      </c>
    </row>
    <row r="17" spans="1:10" x14ac:dyDescent="0.25">
      <c r="A17">
        <v>30</v>
      </c>
      <c r="B17">
        <v>532.32600000000002</v>
      </c>
      <c r="G17" t="s">
        <v>231</v>
      </c>
      <c r="H17">
        <v>1956.52</v>
      </c>
      <c r="I17">
        <v>790.7</v>
      </c>
      <c r="J17" t="s">
        <v>217</v>
      </c>
    </row>
    <row r="18" spans="1:10" x14ac:dyDescent="0.25">
      <c r="A18">
        <v>31</v>
      </c>
      <c r="B18">
        <v>537.67399999999998</v>
      </c>
      <c r="G18" t="s">
        <v>232</v>
      </c>
      <c r="H18">
        <v>2097.83</v>
      </c>
      <c r="I18">
        <v>923.26</v>
      </c>
      <c r="J18" t="s">
        <v>217</v>
      </c>
    </row>
    <row r="19" spans="1:10" x14ac:dyDescent="0.25">
      <c r="A19">
        <v>36</v>
      </c>
      <c r="B19">
        <v>519.30200000000002</v>
      </c>
      <c r="G19" t="s">
        <v>233</v>
      </c>
      <c r="H19">
        <v>2170.29</v>
      </c>
      <c r="I19">
        <v>976.74</v>
      </c>
      <c r="J19" t="s">
        <v>217</v>
      </c>
    </row>
    <row r="20" spans="1:10" x14ac:dyDescent="0.25">
      <c r="A20">
        <v>37</v>
      </c>
      <c r="B20">
        <v>524.88400000000001</v>
      </c>
      <c r="G20" t="s">
        <v>234</v>
      </c>
      <c r="H20">
        <v>2521.7399999999998</v>
      </c>
      <c r="I20">
        <v>793.02</v>
      </c>
      <c r="J20" t="s">
        <v>217</v>
      </c>
    </row>
    <row r="21" spans="1:10" x14ac:dyDescent="0.25">
      <c r="G21" t="s">
        <v>235</v>
      </c>
      <c r="H21">
        <v>2597.83</v>
      </c>
      <c r="I21">
        <v>848.84</v>
      </c>
      <c r="J21" t="s">
        <v>217</v>
      </c>
    </row>
    <row r="22" spans="1:10" x14ac:dyDescent="0.25">
      <c r="B22">
        <f>MIN(B2:B20)</f>
        <v>445.34899999999999</v>
      </c>
      <c r="C22">
        <f>AVERAGE(B2:B20)</f>
        <v>497.6866315789473</v>
      </c>
    </row>
    <row r="23" spans="1:10" x14ac:dyDescent="0.25">
      <c r="B23">
        <f>MAX(B2:B20)</f>
        <v>538.60500000000002</v>
      </c>
    </row>
    <row r="25" spans="1:10" x14ac:dyDescent="0.25">
      <c r="A25" t="s">
        <v>236</v>
      </c>
      <c r="B25" t="s">
        <v>237</v>
      </c>
      <c r="G25" t="s">
        <v>211</v>
      </c>
    </row>
    <row r="26" spans="1:10" x14ac:dyDescent="0.25">
      <c r="A26">
        <v>3.9859999999999998</v>
      </c>
      <c r="B26">
        <v>34.355000000000004</v>
      </c>
      <c r="G26" t="s">
        <v>212</v>
      </c>
      <c r="H26" t="s">
        <v>213</v>
      </c>
      <c r="I26" t="s">
        <v>214</v>
      </c>
      <c r="J26" t="s">
        <v>215</v>
      </c>
    </row>
    <row r="27" spans="1:10" x14ac:dyDescent="0.25">
      <c r="A27">
        <v>10.870000000000001</v>
      </c>
      <c r="B27">
        <v>28.870999999999999</v>
      </c>
      <c r="G27" t="s">
        <v>216</v>
      </c>
      <c r="H27">
        <v>39.86</v>
      </c>
      <c r="I27">
        <v>343.55</v>
      </c>
      <c r="J27" t="s">
        <v>217</v>
      </c>
    </row>
    <row r="28" spans="1:10" x14ac:dyDescent="0.25">
      <c r="A28">
        <v>17.390999999999998</v>
      </c>
      <c r="B28">
        <v>28.870999999999999</v>
      </c>
      <c r="G28" t="s">
        <v>218</v>
      </c>
      <c r="H28">
        <v>108.7</v>
      </c>
      <c r="I28">
        <v>288.70999999999998</v>
      </c>
      <c r="J28" t="s">
        <v>217</v>
      </c>
    </row>
    <row r="29" spans="1:10" x14ac:dyDescent="0.25">
      <c r="A29">
        <v>24.274999999999999</v>
      </c>
      <c r="B29">
        <v>24.677</v>
      </c>
      <c r="G29" t="s">
        <v>219</v>
      </c>
      <c r="H29">
        <v>173.91</v>
      </c>
      <c r="I29">
        <v>288.70999999999998</v>
      </c>
      <c r="J29" t="s">
        <v>217</v>
      </c>
    </row>
    <row r="30" spans="1:10" x14ac:dyDescent="0.25">
      <c r="A30">
        <v>30.435000000000002</v>
      </c>
      <c r="B30">
        <v>23.547999999999998</v>
      </c>
      <c r="G30" t="s">
        <v>220</v>
      </c>
      <c r="H30">
        <v>242.75</v>
      </c>
      <c r="I30">
        <v>246.77</v>
      </c>
      <c r="J30" t="s">
        <v>217</v>
      </c>
    </row>
    <row r="31" spans="1:10" x14ac:dyDescent="0.25">
      <c r="A31">
        <v>38.405999999999999</v>
      </c>
      <c r="B31">
        <v>20.161000000000001</v>
      </c>
      <c r="G31" t="s">
        <v>221</v>
      </c>
      <c r="H31">
        <v>304.35000000000002</v>
      </c>
      <c r="I31">
        <v>235.48</v>
      </c>
      <c r="J31" t="s">
        <v>217</v>
      </c>
    </row>
    <row r="32" spans="1:10" x14ac:dyDescent="0.25">
      <c r="A32">
        <v>45.29</v>
      </c>
      <c r="B32">
        <v>44.194000000000003</v>
      </c>
      <c r="G32" t="s">
        <v>222</v>
      </c>
      <c r="H32">
        <v>384.06</v>
      </c>
      <c r="I32">
        <v>201.61</v>
      </c>
      <c r="J32" t="s">
        <v>217</v>
      </c>
    </row>
    <row r="33" spans="1:10" x14ac:dyDescent="0.25">
      <c r="A33">
        <v>51.811999999999998</v>
      </c>
      <c r="B33">
        <v>37.257999999999996</v>
      </c>
      <c r="G33" t="s">
        <v>223</v>
      </c>
      <c r="H33">
        <v>452.9</v>
      </c>
      <c r="I33">
        <v>441.94</v>
      </c>
      <c r="J33" t="s">
        <v>217</v>
      </c>
    </row>
    <row r="34" spans="1:10" x14ac:dyDescent="0.25">
      <c r="A34">
        <v>59.783000000000001</v>
      </c>
      <c r="B34">
        <v>42.902999999999999</v>
      </c>
      <c r="G34" t="s">
        <v>224</v>
      </c>
      <c r="H34">
        <v>518.12</v>
      </c>
      <c r="I34">
        <v>372.58</v>
      </c>
      <c r="J34" t="s">
        <v>217</v>
      </c>
    </row>
    <row r="35" spans="1:10" x14ac:dyDescent="0.25">
      <c r="A35">
        <v>66.667000000000002</v>
      </c>
      <c r="B35">
        <v>39.677</v>
      </c>
      <c r="G35" t="s">
        <v>225</v>
      </c>
      <c r="H35">
        <v>597.83000000000004</v>
      </c>
      <c r="I35">
        <v>429.03</v>
      </c>
      <c r="J35" t="s">
        <v>217</v>
      </c>
    </row>
    <row r="36" spans="1:10" x14ac:dyDescent="0.25">
      <c r="A36">
        <v>74.275000000000006</v>
      </c>
      <c r="B36">
        <v>34.031999999999996</v>
      </c>
      <c r="G36" t="s">
        <v>226</v>
      </c>
      <c r="H36">
        <v>666.67</v>
      </c>
      <c r="I36">
        <v>396.77</v>
      </c>
      <c r="J36" t="s">
        <v>217</v>
      </c>
    </row>
    <row r="37" spans="1:10" x14ac:dyDescent="0.25">
      <c r="A37">
        <v>79.710000000000008</v>
      </c>
      <c r="B37">
        <v>28.870999999999999</v>
      </c>
      <c r="G37" t="s">
        <v>227</v>
      </c>
      <c r="H37">
        <v>742.75</v>
      </c>
      <c r="I37">
        <v>340.32</v>
      </c>
      <c r="J37" t="s">
        <v>217</v>
      </c>
    </row>
    <row r="38" spans="1:10" x14ac:dyDescent="0.25">
      <c r="A38">
        <v>86.594000000000008</v>
      </c>
      <c r="B38">
        <v>48.387</v>
      </c>
      <c r="G38" t="s">
        <v>228</v>
      </c>
      <c r="H38">
        <v>797.1</v>
      </c>
      <c r="I38">
        <v>288.70999999999998</v>
      </c>
      <c r="J38" t="s">
        <v>217</v>
      </c>
    </row>
    <row r="39" spans="1:10" x14ac:dyDescent="0.25">
      <c r="A39">
        <v>94.203000000000003</v>
      </c>
      <c r="B39">
        <v>46.613</v>
      </c>
      <c r="G39" t="s">
        <v>229</v>
      </c>
      <c r="H39">
        <v>865.94</v>
      </c>
      <c r="I39">
        <v>483.87</v>
      </c>
      <c r="J39" t="s">
        <v>217</v>
      </c>
    </row>
    <row r="40" spans="1:10" x14ac:dyDescent="0.25">
      <c r="A40">
        <v>100</v>
      </c>
      <c r="B40">
        <v>26.774000000000001</v>
      </c>
      <c r="G40" t="s">
        <v>230</v>
      </c>
      <c r="H40">
        <v>942.03</v>
      </c>
      <c r="I40">
        <v>466.13</v>
      </c>
      <c r="J40" t="s">
        <v>217</v>
      </c>
    </row>
    <row r="41" spans="1:10" x14ac:dyDescent="0.25">
      <c r="A41">
        <v>107.971</v>
      </c>
      <c r="B41">
        <v>36.935000000000002</v>
      </c>
      <c r="G41" t="s">
        <v>231</v>
      </c>
      <c r="H41">
        <v>1000</v>
      </c>
      <c r="I41">
        <v>267.74</v>
      </c>
      <c r="J41" t="s">
        <v>217</v>
      </c>
    </row>
    <row r="42" spans="1:10" x14ac:dyDescent="0.25">
      <c r="A42">
        <v>115.21700000000001</v>
      </c>
      <c r="B42">
        <v>35.323</v>
      </c>
      <c r="G42" t="s">
        <v>232</v>
      </c>
      <c r="H42">
        <v>1079.71</v>
      </c>
      <c r="I42">
        <v>369.35</v>
      </c>
      <c r="J42" t="s">
        <v>217</v>
      </c>
    </row>
    <row r="43" spans="1:10" x14ac:dyDescent="0.25">
      <c r="A43">
        <v>122.46400000000001</v>
      </c>
      <c r="B43">
        <v>39.516000000000005</v>
      </c>
      <c r="G43" t="s">
        <v>233</v>
      </c>
      <c r="H43">
        <v>1152.17</v>
      </c>
      <c r="I43">
        <v>353.23</v>
      </c>
      <c r="J43" t="s">
        <v>217</v>
      </c>
    </row>
    <row r="44" spans="1:10" x14ac:dyDescent="0.25">
      <c r="A44">
        <v>129.70999999999998</v>
      </c>
      <c r="B44">
        <v>34.194000000000003</v>
      </c>
      <c r="G44" t="s">
        <v>234</v>
      </c>
      <c r="H44">
        <v>1224.6400000000001</v>
      </c>
      <c r="I44">
        <v>395.16</v>
      </c>
      <c r="J44" t="s">
        <v>217</v>
      </c>
    </row>
    <row r="45" spans="1:10" x14ac:dyDescent="0.25">
      <c r="A45">
        <v>135.87</v>
      </c>
      <c r="B45">
        <v>40.805999999999997</v>
      </c>
      <c r="G45" t="s">
        <v>235</v>
      </c>
      <c r="H45">
        <v>1297.0999999999999</v>
      </c>
      <c r="I45">
        <v>341.94</v>
      </c>
      <c r="J45" t="s">
        <v>217</v>
      </c>
    </row>
    <row r="46" spans="1:10" x14ac:dyDescent="0.25">
      <c r="A46">
        <v>142.39100000000002</v>
      </c>
      <c r="B46">
        <v>27.257999999999999</v>
      </c>
      <c r="G46" t="s">
        <v>238</v>
      </c>
      <c r="H46">
        <v>1358.7</v>
      </c>
      <c r="I46">
        <v>408.06</v>
      </c>
      <c r="J46" t="s">
        <v>217</v>
      </c>
    </row>
    <row r="47" spans="1:10" x14ac:dyDescent="0.25">
      <c r="A47">
        <v>149.63800000000001</v>
      </c>
      <c r="B47">
        <v>20.968</v>
      </c>
      <c r="G47" t="s">
        <v>239</v>
      </c>
      <c r="H47">
        <v>1423.91</v>
      </c>
      <c r="I47">
        <v>272.58</v>
      </c>
      <c r="J47" t="s">
        <v>217</v>
      </c>
    </row>
    <row r="48" spans="1:10" x14ac:dyDescent="0.25">
      <c r="A48">
        <v>155.797</v>
      </c>
      <c r="B48">
        <v>24.193999999999999</v>
      </c>
      <c r="G48" t="s">
        <v>240</v>
      </c>
      <c r="H48">
        <v>1496.38</v>
      </c>
      <c r="I48">
        <v>209.68</v>
      </c>
      <c r="J48" t="s">
        <v>217</v>
      </c>
    </row>
    <row r="49" spans="1:10" x14ac:dyDescent="0.25">
      <c r="A49">
        <v>163.768</v>
      </c>
      <c r="B49">
        <v>38.71</v>
      </c>
      <c r="G49" t="s">
        <v>241</v>
      </c>
      <c r="H49">
        <v>1557.97</v>
      </c>
      <c r="I49">
        <v>241.94</v>
      </c>
      <c r="J49" t="s">
        <v>217</v>
      </c>
    </row>
    <row r="50" spans="1:10" x14ac:dyDescent="0.25">
      <c r="A50">
        <v>171.37700000000001</v>
      </c>
      <c r="B50">
        <v>23.387</v>
      </c>
      <c r="G50" t="s">
        <v>242</v>
      </c>
      <c r="H50">
        <v>1637.68</v>
      </c>
      <c r="I50">
        <v>387.1</v>
      </c>
      <c r="J50" t="s">
        <v>217</v>
      </c>
    </row>
    <row r="51" spans="1:10" x14ac:dyDescent="0.25">
      <c r="A51">
        <v>177.536</v>
      </c>
      <c r="B51">
        <v>34.355000000000004</v>
      </c>
      <c r="G51" t="s">
        <v>243</v>
      </c>
      <c r="H51">
        <v>1713.77</v>
      </c>
      <c r="I51">
        <v>233.87</v>
      </c>
      <c r="J51" t="s">
        <v>217</v>
      </c>
    </row>
    <row r="52" spans="1:10" x14ac:dyDescent="0.25">
      <c r="A52">
        <v>184.42000000000002</v>
      </c>
      <c r="B52">
        <v>22.902999999999999</v>
      </c>
      <c r="G52" t="s">
        <v>244</v>
      </c>
      <c r="H52">
        <v>1775.36</v>
      </c>
      <c r="I52">
        <v>343.55</v>
      </c>
      <c r="J52" t="s">
        <v>217</v>
      </c>
    </row>
    <row r="53" spans="1:10" x14ac:dyDescent="0.25">
      <c r="A53">
        <v>191.667</v>
      </c>
      <c r="B53">
        <v>29.677</v>
      </c>
      <c r="G53" t="s">
        <v>245</v>
      </c>
      <c r="H53">
        <v>1844.2</v>
      </c>
      <c r="I53">
        <v>229.03</v>
      </c>
      <c r="J53" t="s">
        <v>217</v>
      </c>
    </row>
    <row r="54" spans="1:10" x14ac:dyDescent="0.25">
      <c r="A54">
        <v>198.55099999999999</v>
      </c>
      <c r="B54">
        <v>19.677</v>
      </c>
      <c r="G54" t="s">
        <v>246</v>
      </c>
      <c r="H54">
        <v>1916.67</v>
      </c>
      <c r="I54">
        <v>296.77</v>
      </c>
      <c r="J54" t="s">
        <v>217</v>
      </c>
    </row>
    <row r="55" spans="1:10" x14ac:dyDescent="0.25">
      <c r="A55">
        <v>206.15900000000002</v>
      </c>
      <c r="B55">
        <v>19.355</v>
      </c>
      <c r="G55" t="s">
        <v>247</v>
      </c>
      <c r="H55">
        <v>1985.51</v>
      </c>
      <c r="I55">
        <v>196.77</v>
      </c>
      <c r="J55" t="s">
        <v>217</v>
      </c>
    </row>
    <row r="56" spans="1:10" x14ac:dyDescent="0.25">
      <c r="A56">
        <v>213.04400000000001</v>
      </c>
      <c r="B56">
        <v>24.032</v>
      </c>
      <c r="G56" t="s">
        <v>248</v>
      </c>
      <c r="H56">
        <v>2061.59</v>
      </c>
      <c r="I56">
        <v>193.55</v>
      </c>
      <c r="J56" t="s">
        <v>217</v>
      </c>
    </row>
    <row r="57" spans="1:10" x14ac:dyDescent="0.25">
      <c r="A57">
        <v>219.20300000000003</v>
      </c>
      <c r="B57">
        <v>22.581</v>
      </c>
      <c r="G57" t="s">
        <v>249</v>
      </c>
      <c r="H57">
        <v>2130.44</v>
      </c>
      <c r="I57">
        <v>240.32</v>
      </c>
      <c r="J57" t="s">
        <v>217</v>
      </c>
    </row>
    <row r="58" spans="1:10" x14ac:dyDescent="0.25">
      <c r="A58">
        <v>226.08699999999999</v>
      </c>
      <c r="B58">
        <v>25.645</v>
      </c>
      <c r="G58" t="s">
        <v>250</v>
      </c>
      <c r="H58">
        <v>2192.0300000000002</v>
      </c>
      <c r="I58">
        <v>225.81</v>
      </c>
      <c r="J58" t="s">
        <v>217</v>
      </c>
    </row>
    <row r="59" spans="1:10" x14ac:dyDescent="0.25">
      <c r="A59">
        <v>232.971</v>
      </c>
      <c r="B59">
        <v>15.968</v>
      </c>
      <c r="G59" t="s">
        <v>251</v>
      </c>
      <c r="H59">
        <v>2260.87</v>
      </c>
      <c r="I59">
        <v>256.45</v>
      </c>
      <c r="J59" t="s">
        <v>217</v>
      </c>
    </row>
    <row r="60" spans="1:10" x14ac:dyDescent="0.25">
      <c r="A60">
        <v>240.94200000000001</v>
      </c>
      <c r="B60">
        <v>23.71</v>
      </c>
      <c r="G60" t="s">
        <v>252</v>
      </c>
      <c r="H60">
        <v>2329.71</v>
      </c>
      <c r="I60">
        <v>159.68</v>
      </c>
      <c r="J60" t="s">
        <v>217</v>
      </c>
    </row>
    <row r="61" spans="1:10" x14ac:dyDescent="0.25">
      <c r="A61">
        <v>248.91300000000001</v>
      </c>
      <c r="B61">
        <v>22.902999999999999</v>
      </c>
      <c r="G61" t="s">
        <v>253</v>
      </c>
      <c r="H61">
        <v>2409.42</v>
      </c>
      <c r="I61">
        <v>237.1</v>
      </c>
      <c r="J61" t="s">
        <v>217</v>
      </c>
    </row>
    <row r="62" spans="1:10" x14ac:dyDescent="0.25">
      <c r="A62">
        <v>255.79699999999997</v>
      </c>
      <c r="B62">
        <v>16.613</v>
      </c>
      <c r="G62" t="s">
        <v>254</v>
      </c>
      <c r="H62">
        <v>2489.13</v>
      </c>
      <c r="I62">
        <v>229.03</v>
      </c>
      <c r="J62" t="s">
        <v>217</v>
      </c>
    </row>
    <row r="63" spans="1:10" x14ac:dyDescent="0.25">
      <c r="G63" t="s">
        <v>255</v>
      </c>
      <c r="H63">
        <v>2557.9699999999998</v>
      </c>
      <c r="I63">
        <v>166.13</v>
      </c>
      <c r="J63" t="s">
        <v>217</v>
      </c>
    </row>
    <row r="64" spans="1:10" x14ac:dyDescent="0.25">
      <c r="B64">
        <f>AVERAGE(B26:B62)</f>
        <v>29.943297297297306</v>
      </c>
      <c r="C64">
        <f>MAX(B26:B62)</f>
        <v>48.387</v>
      </c>
    </row>
    <row r="65" spans="2:2" x14ac:dyDescent="0.25">
      <c r="B65">
        <f>STDEV(B26:B62)</f>
        <v>8.7451308987879859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4" tint="0.39997558519241921"/>
  </sheetPr>
  <dimension ref="A1:N42"/>
  <sheetViews>
    <sheetView workbookViewId="0">
      <selection activeCell="F31" sqref="F31"/>
    </sheetView>
  </sheetViews>
  <sheetFormatPr defaultRowHeight="15" x14ac:dyDescent="0.25"/>
  <sheetData>
    <row r="1" spans="1:14" x14ac:dyDescent="0.25">
      <c r="A1" t="s">
        <v>38</v>
      </c>
      <c r="B1" t="s">
        <v>210</v>
      </c>
      <c r="C1" t="s">
        <v>259</v>
      </c>
      <c r="F1" t="s">
        <v>210</v>
      </c>
      <c r="K1" t="s">
        <v>259</v>
      </c>
    </row>
    <row r="2" spans="1:14" x14ac:dyDescent="0.25">
      <c r="A2">
        <v>1</v>
      </c>
      <c r="B2">
        <v>5.8399000000000001</v>
      </c>
      <c r="C2">
        <v>471.14</v>
      </c>
      <c r="F2" t="s">
        <v>212</v>
      </c>
      <c r="G2" t="s">
        <v>213</v>
      </c>
      <c r="H2" t="s">
        <v>214</v>
      </c>
      <c r="I2" t="s">
        <v>215</v>
      </c>
      <c r="K2" t="s">
        <v>212</v>
      </c>
      <c r="L2" t="s">
        <v>213</v>
      </c>
      <c r="M2" t="s">
        <v>214</v>
      </c>
      <c r="N2" t="s">
        <v>215</v>
      </c>
    </row>
    <row r="3" spans="1:14" x14ac:dyDescent="0.25">
      <c r="A3">
        <v>2</v>
      </c>
      <c r="B3">
        <v>5.7523999999999997</v>
      </c>
      <c r="C3">
        <v>365.27</v>
      </c>
      <c r="F3" t="s">
        <v>216</v>
      </c>
      <c r="G3">
        <v>62.13</v>
      </c>
      <c r="H3">
        <v>83.99</v>
      </c>
      <c r="I3" t="s">
        <v>217</v>
      </c>
      <c r="K3" t="s">
        <v>216</v>
      </c>
      <c r="L3">
        <v>35.26</v>
      </c>
      <c r="M3">
        <v>471.14</v>
      </c>
      <c r="N3" t="s">
        <v>217</v>
      </c>
    </row>
    <row r="4" spans="1:14" x14ac:dyDescent="0.25">
      <c r="A4">
        <v>3</v>
      </c>
      <c r="B4">
        <v>5.9623999999999997</v>
      </c>
      <c r="C4">
        <v>175.15</v>
      </c>
      <c r="F4" t="s">
        <v>218</v>
      </c>
      <c r="G4">
        <v>171.89</v>
      </c>
      <c r="H4">
        <v>75.239999999999995</v>
      </c>
      <c r="I4" t="s">
        <v>217</v>
      </c>
      <c r="K4" t="s">
        <v>218</v>
      </c>
      <c r="L4">
        <v>132.74</v>
      </c>
      <c r="M4">
        <v>365.27</v>
      </c>
      <c r="N4" t="s">
        <v>217</v>
      </c>
    </row>
    <row r="5" spans="1:14" x14ac:dyDescent="0.25">
      <c r="A5">
        <v>4</v>
      </c>
      <c r="B5">
        <v>6.0847999999999995</v>
      </c>
      <c r="C5">
        <v>449.53</v>
      </c>
      <c r="F5" t="s">
        <v>219</v>
      </c>
      <c r="G5">
        <v>269.23</v>
      </c>
      <c r="H5">
        <v>96.24</v>
      </c>
      <c r="I5" t="s">
        <v>217</v>
      </c>
      <c r="K5" t="s">
        <v>219</v>
      </c>
      <c r="L5">
        <v>242.67</v>
      </c>
      <c r="M5">
        <v>175.15</v>
      </c>
      <c r="N5" t="s">
        <v>217</v>
      </c>
    </row>
    <row r="6" spans="1:14" x14ac:dyDescent="0.25">
      <c r="A6">
        <v>5</v>
      </c>
      <c r="B6">
        <v>6.8719999999999999</v>
      </c>
      <c r="C6">
        <v>198.92</v>
      </c>
      <c r="F6" t="s">
        <v>220</v>
      </c>
      <c r="G6">
        <v>368.64</v>
      </c>
      <c r="H6">
        <v>108.48</v>
      </c>
      <c r="I6" t="s">
        <v>217</v>
      </c>
      <c r="K6" t="s">
        <v>220</v>
      </c>
      <c r="L6">
        <v>338.07</v>
      </c>
      <c r="M6">
        <v>449.53</v>
      </c>
      <c r="N6" t="s">
        <v>217</v>
      </c>
    </row>
    <row r="7" spans="1:14" x14ac:dyDescent="0.25">
      <c r="A7">
        <v>6</v>
      </c>
      <c r="B7">
        <v>6.7669999999999995</v>
      </c>
      <c r="C7">
        <v>177.31</v>
      </c>
      <c r="F7" t="s">
        <v>221</v>
      </c>
      <c r="G7">
        <v>468.05</v>
      </c>
      <c r="H7">
        <v>187.2</v>
      </c>
      <c r="I7" t="s">
        <v>217</v>
      </c>
      <c r="K7" t="s">
        <v>221</v>
      </c>
      <c r="L7">
        <v>441.78</v>
      </c>
      <c r="M7">
        <v>198.92</v>
      </c>
      <c r="N7" t="s">
        <v>217</v>
      </c>
    </row>
    <row r="8" spans="1:14" x14ac:dyDescent="0.25">
      <c r="A8">
        <v>7</v>
      </c>
      <c r="B8">
        <v>7.0293999999999999</v>
      </c>
      <c r="C8">
        <v>535.95000000000005</v>
      </c>
      <c r="F8" t="s">
        <v>222</v>
      </c>
      <c r="G8">
        <v>569.53</v>
      </c>
      <c r="H8">
        <v>176.7</v>
      </c>
      <c r="I8" t="s">
        <v>217</v>
      </c>
      <c r="K8" t="s">
        <v>222</v>
      </c>
      <c r="L8">
        <v>541.33000000000004</v>
      </c>
      <c r="M8">
        <v>177.31</v>
      </c>
      <c r="N8" t="s">
        <v>217</v>
      </c>
    </row>
    <row r="9" spans="1:14" x14ac:dyDescent="0.25">
      <c r="A9">
        <v>8</v>
      </c>
      <c r="B9">
        <v>8.0265000000000004</v>
      </c>
      <c r="C9">
        <v>468.98</v>
      </c>
      <c r="F9" t="s">
        <v>223</v>
      </c>
      <c r="G9">
        <v>668.93</v>
      </c>
      <c r="H9">
        <v>202.94</v>
      </c>
      <c r="I9" t="s">
        <v>217</v>
      </c>
      <c r="K9" t="s">
        <v>223</v>
      </c>
      <c r="L9">
        <v>645.04</v>
      </c>
      <c r="M9">
        <v>535.95000000000005</v>
      </c>
      <c r="N9" t="s">
        <v>217</v>
      </c>
    </row>
    <row r="10" spans="1:14" x14ac:dyDescent="0.25">
      <c r="A10">
        <v>9</v>
      </c>
      <c r="B10">
        <v>9.0411000000000001</v>
      </c>
      <c r="C10">
        <v>589.97</v>
      </c>
      <c r="F10" t="s">
        <v>224</v>
      </c>
      <c r="G10">
        <v>770.41</v>
      </c>
      <c r="H10">
        <v>302.64999999999998</v>
      </c>
      <c r="I10" t="s">
        <v>217</v>
      </c>
      <c r="K10" t="s">
        <v>224</v>
      </c>
      <c r="L10">
        <v>750.81</v>
      </c>
      <c r="M10">
        <v>468.98</v>
      </c>
      <c r="N10" t="s">
        <v>217</v>
      </c>
    </row>
    <row r="11" spans="1:14" x14ac:dyDescent="0.25">
      <c r="A11">
        <v>10</v>
      </c>
      <c r="B11">
        <v>7.3618000000000006</v>
      </c>
      <c r="C11">
        <v>438.73</v>
      </c>
      <c r="F11" t="s">
        <v>225</v>
      </c>
      <c r="G11">
        <v>865.68</v>
      </c>
      <c r="H11">
        <v>404.11</v>
      </c>
      <c r="I11" t="s">
        <v>217</v>
      </c>
      <c r="K11" t="s">
        <v>225</v>
      </c>
      <c r="L11">
        <v>850.37</v>
      </c>
      <c r="M11">
        <v>589.97</v>
      </c>
      <c r="N11" t="s">
        <v>217</v>
      </c>
    </row>
    <row r="12" spans="1:14" x14ac:dyDescent="0.25">
      <c r="A12">
        <v>11</v>
      </c>
      <c r="B12">
        <v>9.4258999999999986</v>
      </c>
      <c r="C12">
        <v>235.64</v>
      </c>
      <c r="F12" t="s">
        <v>226</v>
      </c>
      <c r="G12">
        <v>967.16</v>
      </c>
      <c r="H12">
        <v>236.18</v>
      </c>
      <c r="I12" t="s">
        <v>217</v>
      </c>
      <c r="K12" t="s">
        <v>226</v>
      </c>
      <c r="L12">
        <v>947.85</v>
      </c>
      <c r="M12">
        <v>438.73</v>
      </c>
      <c r="N12" t="s">
        <v>217</v>
      </c>
    </row>
    <row r="13" spans="1:14" x14ac:dyDescent="0.25">
      <c r="A13">
        <v>12</v>
      </c>
      <c r="B13">
        <v>9.4608999999999988</v>
      </c>
      <c r="C13">
        <v>207.56</v>
      </c>
      <c r="F13" t="s">
        <v>227</v>
      </c>
      <c r="G13">
        <v>1066.57</v>
      </c>
      <c r="H13">
        <v>442.59</v>
      </c>
      <c r="I13" t="s">
        <v>217</v>
      </c>
      <c r="K13" t="s">
        <v>227</v>
      </c>
      <c r="L13">
        <v>1053.6300000000001</v>
      </c>
      <c r="M13">
        <v>235.64</v>
      </c>
      <c r="N13" t="s">
        <v>217</v>
      </c>
    </row>
    <row r="14" spans="1:14" x14ac:dyDescent="0.25">
      <c r="A14">
        <v>13</v>
      </c>
      <c r="B14">
        <v>10.213100000000001</v>
      </c>
      <c r="C14">
        <v>160.03</v>
      </c>
      <c r="F14" t="s">
        <v>228</v>
      </c>
      <c r="G14">
        <v>1165.98</v>
      </c>
      <c r="H14">
        <v>446.09</v>
      </c>
      <c r="I14" t="s">
        <v>217</v>
      </c>
      <c r="K14" t="s">
        <v>228</v>
      </c>
      <c r="L14">
        <v>1149.04</v>
      </c>
      <c r="M14">
        <v>207.56</v>
      </c>
      <c r="N14" t="s">
        <v>217</v>
      </c>
    </row>
    <row r="15" spans="1:14" x14ac:dyDescent="0.25">
      <c r="A15">
        <v>14</v>
      </c>
      <c r="B15">
        <v>9.7932999999999986</v>
      </c>
      <c r="C15">
        <v>39.04</v>
      </c>
      <c r="F15" t="s">
        <v>229</v>
      </c>
      <c r="G15">
        <v>1263.31</v>
      </c>
      <c r="H15">
        <v>521.30999999999995</v>
      </c>
      <c r="I15" t="s">
        <v>217</v>
      </c>
      <c r="K15" t="s">
        <v>229</v>
      </c>
      <c r="L15">
        <v>1246.52</v>
      </c>
      <c r="M15">
        <v>160.03</v>
      </c>
      <c r="N15" t="s">
        <v>217</v>
      </c>
    </row>
    <row r="16" spans="1:14" x14ac:dyDescent="0.25">
      <c r="F16" t="s">
        <v>230</v>
      </c>
      <c r="G16">
        <v>1362.72</v>
      </c>
      <c r="H16">
        <v>479.33</v>
      </c>
      <c r="I16" t="s">
        <v>217</v>
      </c>
      <c r="K16" t="s">
        <v>230</v>
      </c>
      <c r="L16">
        <v>1352.3</v>
      </c>
      <c r="M16">
        <v>39.04</v>
      </c>
      <c r="N16" t="s">
        <v>217</v>
      </c>
    </row>
    <row r="17" spans="1:14" x14ac:dyDescent="0.25">
      <c r="B17">
        <f>MIN(B2:B15)</f>
        <v>5.7523999999999997</v>
      </c>
      <c r="C17">
        <f>MIN(C2:C15)</f>
        <v>39.04</v>
      </c>
      <c r="D17">
        <f>C17/7</f>
        <v>5.5771428571428574</v>
      </c>
    </row>
    <row r="18" spans="1:14" x14ac:dyDescent="0.25">
      <c r="B18">
        <f>MAX(B2:B15)</f>
        <v>10.213100000000001</v>
      </c>
      <c r="C18">
        <f>MAX(C2:C15)</f>
        <v>589.97</v>
      </c>
      <c r="D18">
        <f>C18/7</f>
        <v>84.281428571428577</v>
      </c>
    </row>
    <row r="19" spans="1:14" x14ac:dyDescent="0.25">
      <c r="B19">
        <f>AVERAGE(B2:B15)</f>
        <v>7.687892857142856</v>
      </c>
      <c r="C19">
        <f>AVERAGE(C2:C15)</f>
        <v>322.37285714285719</v>
      </c>
      <c r="D19">
        <f>C19/7</f>
        <v>46.053265306122455</v>
      </c>
    </row>
    <row r="20" spans="1:14" x14ac:dyDescent="0.25">
      <c r="B20">
        <f>STDEV(B2:B15)</f>
        <v>1.6096242893986139</v>
      </c>
      <c r="C20">
        <f>STDEV(C2:C15)</f>
        <v>170.45020353028755</v>
      </c>
      <c r="D20">
        <f>C20/7</f>
        <v>24.350029075755366</v>
      </c>
    </row>
    <row r="23" spans="1:14" x14ac:dyDescent="0.25">
      <c r="A23" t="s">
        <v>39</v>
      </c>
      <c r="B23" t="s">
        <v>210</v>
      </c>
      <c r="C23" t="s">
        <v>259</v>
      </c>
      <c r="F23" t="s">
        <v>210</v>
      </c>
      <c r="K23" t="s">
        <v>259</v>
      </c>
    </row>
    <row r="24" spans="1:14" x14ac:dyDescent="0.25">
      <c r="A24">
        <v>1</v>
      </c>
      <c r="B24">
        <v>5.3784999999999998</v>
      </c>
      <c r="C24">
        <v>527.30999999999995</v>
      </c>
      <c r="F24" t="s">
        <v>212</v>
      </c>
      <c r="G24" t="s">
        <v>213</v>
      </c>
      <c r="H24" t="s">
        <v>214</v>
      </c>
      <c r="I24" t="s">
        <v>215</v>
      </c>
      <c r="K24" t="s">
        <v>212</v>
      </c>
      <c r="L24" t="s">
        <v>213</v>
      </c>
      <c r="M24" t="s">
        <v>214</v>
      </c>
      <c r="N24" t="s">
        <v>215</v>
      </c>
    </row>
    <row r="25" spans="1:14" x14ac:dyDescent="0.25">
      <c r="A25">
        <v>2</v>
      </c>
      <c r="B25">
        <v>5.0051000000000005</v>
      </c>
      <c r="C25">
        <v>369.59</v>
      </c>
      <c r="F25" t="s">
        <v>216</v>
      </c>
      <c r="G25">
        <v>58.07</v>
      </c>
      <c r="H25">
        <v>137.85</v>
      </c>
      <c r="I25" t="s">
        <v>217</v>
      </c>
      <c r="K25" t="s">
        <v>216</v>
      </c>
      <c r="L25">
        <v>41.48</v>
      </c>
      <c r="M25">
        <v>527.30999999999995</v>
      </c>
      <c r="N25" t="s">
        <v>217</v>
      </c>
    </row>
    <row r="26" spans="1:14" x14ac:dyDescent="0.25">
      <c r="A26">
        <v>3</v>
      </c>
      <c r="B26">
        <v>4.5457000000000001</v>
      </c>
      <c r="C26">
        <v>404.16</v>
      </c>
      <c r="F26" t="s">
        <v>218</v>
      </c>
      <c r="G26">
        <v>155.56</v>
      </c>
      <c r="H26">
        <v>100.51</v>
      </c>
      <c r="I26" t="s">
        <v>217</v>
      </c>
      <c r="K26" t="s">
        <v>218</v>
      </c>
      <c r="L26">
        <v>132.74</v>
      </c>
      <c r="M26">
        <v>369.59</v>
      </c>
      <c r="N26" t="s">
        <v>217</v>
      </c>
    </row>
    <row r="27" spans="1:14" x14ac:dyDescent="0.25">
      <c r="A27">
        <v>4</v>
      </c>
      <c r="B27">
        <v>5.1486999999999998</v>
      </c>
      <c r="C27">
        <v>471.14</v>
      </c>
      <c r="F27" t="s">
        <v>219</v>
      </c>
      <c r="G27">
        <v>263.41000000000003</v>
      </c>
      <c r="H27">
        <v>54.57</v>
      </c>
      <c r="I27" t="s">
        <v>217</v>
      </c>
      <c r="K27" t="s">
        <v>219</v>
      </c>
      <c r="L27">
        <v>238.52</v>
      </c>
      <c r="M27">
        <v>404.16</v>
      </c>
      <c r="N27" t="s">
        <v>217</v>
      </c>
    </row>
    <row r="28" spans="1:14" x14ac:dyDescent="0.25">
      <c r="A28">
        <v>5</v>
      </c>
      <c r="B28">
        <v>5.7661999999999995</v>
      </c>
      <c r="C28">
        <v>203.24</v>
      </c>
      <c r="F28" t="s">
        <v>220</v>
      </c>
      <c r="G28">
        <v>358.82</v>
      </c>
      <c r="H28">
        <v>114.87</v>
      </c>
      <c r="I28" t="s">
        <v>217</v>
      </c>
      <c r="K28" t="s">
        <v>220</v>
      </c>
      <c r="L28">
        <v>344.3</v>
      </c>
      <c r="M28">
        <v>471.14</v>
      </c>
      <c r="N28" t="s">
        <v>217</v>
      </c>
    </row>
    <row r="29" spans="1:14" x14ac:dyDescent="0.25">
      <c r="A29">
        <v>6</v>
      </c>
      <c r="B29">
        <v>5.7088000000000001</v>
      </c>
      <c r="C29">
        <v>179.47</v>
      </c>
      <c r="F29" t="s">
        <v>221</v>
      </c>
      <c r="G29">
        <v>458.37</v>
      </c>
      <c r="H29">
        <v>176.62</v>
      </c>
      <c r="I29" t="s">
        <v>217</v>
      </c>
      <c r="K29" t="s">
        <v>221</v>
      </c>
      <c r="L29">
        <v>441.78</v>
      </c>
      <c r="M29">
        <v>203.24</v>
      </c>
      <c r="N29" t="s">
        <v>217</v>
      </c>
    </row>
    <row r="30" spans="1:14" x14ac:dyDescent="0.25">
      <c r="A30">
        <v>7</v>
      </c>
      <c r="B30">
        <v>6.3979999999999997</v>
      </c>
      <c r="C30">
        <v>605.09</v>
      </c>
      <c r="F30" t="s">
        <v>222</v>
      </c>
      <c r="G30">
        <v>557.92999999999995</v>
      </c>
      <c r="H30">
        <v>170.88</v>
      </c>
      <c r="I30" t="s">
        <v>217</v>
      </c>
      <c r="K30" t="s">
        <v>222</v>
      </c>
      <c r="L30">
        <v>547.55999999999995</v>
      </c>
      <c r="M30">
        <v>179.47</v>
      </c>
      <c r="N30" t="s">
        <v>217</v>
      </c>
    </row>
    <row r="31" spans="1:14" x14ac:dyDescent="0.25">
      <c r="A31">
        <v>8</v>
      </c>
      <c r="B31">
        <v>7.7189999999999994</v>
      </c>
      <c r="C31">
        <v>525.15</v>
      </c>
      <c r="F31" t="s">
        <v>223</v>
      </c>
      <c r="G31">
        <v>661.63</v>
      </c>
      <c r="H31">
        <v>239.8</v>
      </c>
      <c r="I31" t="s">
        <v>217</v>
      </c>
      <c r="K31" t="s">
        <v>223</v>
      </c>
      <c r="L31">
        <v>647.11</v>
      </c>
      <c r="M31">
        <v>605.09</v>
      </c>
      <c r="N31" t="s">
        <v>217</v>
      </c>
    </row>
    <row r="32" spans="1:14" x14ac:dyDescent="0.25">
      <c r="A32">
        <v>9</v>
      </c>
      <c r="B32">
        <v>8.164200000000001</v>
      </c>
      <c r="C32">
        <v>626.69000000000005</v>
      </c>
      <c r="F32" t="s">
        <v>224</v>
      </c>
      <c r="G32">
        <v>757.04</v>
      </c>
      <c r="H32">
        <v>371.9</v>
      </c>
      <c r="I32" t="s">
        <v>217</v>
      </c>
      <c r="K32" t="s">
        <v>224</v>
      </c>
      <c r="L32">
        <v>740.44</v>
      </c>
      <c r="M32">
        <v>525.15</v>
      </c>
      <c r="N32" t="s">
        <v>217</v>
      </c>
    </row>
    <row r="33" spans="1:14" x14ac:dyDescent="0.25">
      <c r="A33">
        <v>10</v>
      </c>
      <c r="B33">
        <v>7.1303000000000001</v>
      </c>
      <c r="C33">
        <v>468.98</v>
      </c>
      <c r="F33" t="s">
        <v>225</v>
      </c>
      <c r="G33">
        <v>856.59</v>
      </c>
      <c r="H33">
        <v>416.42</v>
      </c>
      <c r="I33" t="s">
        <v>217</v>
      </c>
      <c r="K33" t="s">
        <v>225</v>
      </c>
      <c r="L33">
        <v>837.93</v>
      </c>
      <c r="M33">
        <v>626.69000000000005</v>
      </c>
      <c r="N33" t="s">
        <v>217</v>
      </c>
    </row>
    <row r="34" spans="1:14" x14ac:dyDescent="0.25">
      <c r="A34">
        <v>11</v>
      </c>
      <c r="B34">
        <v>8.0206</v>
      </c>
      <c r="C34">
        <v>229.16</v>
      </c>
      <c r="F34" t="s">
        <v>226</v>
      </c>
      <c r="G34">
        <v>956.15</v>
      </c>
      <c r="H34">
        <v>313.02999999999997</v>
      </c>
      <c r="I34" t="s">
        <v>217</v>
      </c>
      <c r="K34" t="s">
        <v>226</v>
      </c>
      <c r="L34">
        <v>945.78</v>
      </c>
      <c r="M34">
        <v>468.98</v>
      </c>
      <c r="N34" t="s">
        <v>217</v>
      </c>
    </row>
    <row r="35" spans="1:14" x14ac:dyDescent="0.25">
      <c r="A35">
        <v>12</v>
      </c>
      <c r="B35">
        <v>8.1355000000000004</v>
      </c>
      <c r="C35">
        <v>194.59</v>
      </c>
      <c r="F35" t="s">
        <v>227</v>
      </c>
      <c r="G35">
        <v>1057.78</v>
      </c>
      <c r="H35">
        <v>402.06</v>
      </c>
      <c r="I35" t="s">
        <v>217</v>
      </c>
      <c r="K35" t="s">
        <v>227</v>
      </c>
      <c r="L35">
        <v>1047.4100000000001</v>
      </c>
      <c r="M35">
        <v>229.16</v>
      </c>
      <c r="N35" t="s">
        <v>217</v>
      </c>
    </row>
    <row r="36" spans="1:14" x14ac:dyDescent="0.25">
      <c r="A36">
        <v>13</v>
      </c>
      <c r="B36">
        <v>8.4657</v>
      </c>
      <c r="C36">
        <v>155.71</v>
      </c>
      <c r="F36" t="s">
        <v>228</v>
      </c>
      <c r="G36">
        <v>1159.4100000000001</v>
      </c>
      <c r="H36">
        <v>413.55</v>
      </c>
      <c r="I36" t="s">
        <v>217</v>
      </c>
      <c r="K36" t="s">
        <v>228</v>
      </c>
      <c r="L36">
        <v>1144.8900000000001</v>
      </c>
      <c r="M36">
        <v>194.59</v>
      </c>
      <c r="N36" t="s">
        <v>217</v>
      </c>
    </row>
    <row r="37" spans="1:14" x14ac:dyDescent="0.25">
      <c r="A37">
        <v>14</v>
      </c>
      <c r="B37">
        <v>7.4605999999999995</v>
      </c>
      <c r="C37">
        <v>80.09</v>
      </c>
      <c r="F37" t="s">
        <v>229</v>
      </c>
      <c r="G37">
        <v>1256.8900000000001</v>
      </c>
      <c r="H37">
        <v>446.57</v>
      </c>
      <c r="I37" t="s">
        <v>217</v>
      </c>
      <c r="K37" t="s">
        <v>229</v>
      </c>
      <c r="L37">
        <v>1258.96</v>
      </c>
      <c r="M37">
        <v>155.71</v>
      </c>
      <c r="N37" t="s">
        <v>217</v>
      </c>
    </row>
    <row r="38" spans="1:14" x14ac:dyDescent="0.25">
      <c r="F38" t="s">
        <v>230</v>
      </c>
      <c r="G38">
        <v>1354.37</v>
      </c>
      <c r="H38">
        <v>346.06</v>
      </c>
      <c r="I38" t="s">
        <v>217</v>
      </c>
      <c r="K38" t="s">
        <v>230</v>
      </c>
      <c r="L38">
        <v>1352.3</v>
      </c>
      <c r="M38">
        <v>80.09</v>
      </c>
      <c r="N38" t="s">
        <v>217</v>
      </c>
    </row>
    <row r="39" spans="1:14" x14ac:dyDescent="0.25">
      <c r="B39">
        <f>MIN(B24:B37)</f>
        <v>4.5457000000000001</v>
      </c>
      <c r="C39">
        <f>MIN(C24:C37)</f>
        <v>80.09</v>
      </c>
      <c r="D39">
        <f>C39/7</f>
        <v>11.441428571428572</v>
      </c>
    </row>
    <row r="40" spans="1:14" x14ac:dyDescent="0.25">
      <c r="B40">
        <f>MAX(B24:B37)</f>
        <v>8.4657</v>
      </c>
      <c r="C40">
        <f>MAX(C24:C37)</f>
        <v>626.69000000000005</v>
      </c>
      <c r="D40">
        <f>C40/7</f>
        <v>89.527142857142863</v>
      </c>
    </row>
    <row r="41" spans="1:14" x14ac:dyDescent="0.25">
      <c r="B41">
        <f>AVERAGE(B24:B37)</f>
        <v>6.6462071428571425</v>
      </c>
      <c r="C41">
        <f>AVERAGE(C24:C37)</f>
        <v>360.02642857142854</v>
      </c>
      <c r="D41">
        <f>C41/7</f>
        <v>51.432346938775503</v>
      </c>
    </row>
    <row r="42" spans="1:14" x14ac:dyDescent="0.25">
      <c r="B42">
        <f>STDEV(B24:B37)</f>
        <v>1.3711307828909725</v>
      </c>
      <c r="C42">
        <f>STDEV(C24:C37)</f>
        <v>182.811165944414</v>
      </c>
      <c r="D42">
        <f>C42/7</f>
        <v>26.115880849202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References</vt:lpstr>
      <vt:lpstr>Parameters</vt:lpstr>
      <vt:lpstr>Summary</vt:lpstr>
      <vt:lpstr>Activities</vt:lpstr>
      <vt:lpstr>Millet2005</vt:lpstr>
      <vt:lpstr>Busso2002</vt:lpstr>
      <vt:lpstr>Busso1994</vt:lpstr>
      <vt:lpstr>Busso1997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Brodie</dc:creator>
  <cp:lastModifiedBy>Ryan Brodie</cp:lastModifiedBy>
  <dcterms:created xsi:type="dcterms:W3CDTF">2020-09-14T16:52:32Z</dcterms:created>
  <dcterms:modified xsi:type="dcterms:W3CDTF">2022-02-16T19:44:36Z</dcterms:modified>
</cp:coreProperties>
</file>